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as\dfs\FinShared\SAS_Accounting\Law &amp; Fire Reconcilation\Law-Fire Fund\Law-Fire Monthly Reports and Schedule\FY24\Monthly LawFire Schedules\"/>
    </mc:Choice>
  </mc:AlternateContent>
  <bookViews>
    <workbookView xWindow="31935" yWindow="1740" windowWidth="21600" windowHeight="11295" tabRatio="731" firstSheet="15" activeTab="23"/>
  </bookViews>
  <sheets>
    <sheet name="JUL WKSHT" sheetId="1" r:id="rId1"/>
    <sheet name="JUL" sheetId="2" r:id="rId2"/>
    <sheet name="AUG WKSHT" sheetId="3" r:id="rId3"/>
    <sheet name="AUG" sheetId="4" r:id="rId4"/>
    <sheet name="SEP WKSHT" sheetId="5" r:id="rId5"/>
    <sheet name="SEP" sheetId="6" r:id="rId6"/>
    <sheet name="OCT WKSHT" sheetId="7" r:id="rId7"/>
    <sheet name="OCT" sheetId="8" r:id="rId8"/>
    <sheet name="NOV WKSHT" sheetId="30" r:id="rId9"/>
    <sheet name="NOV" sheetId="10" r:id="rId10"/>
    <sheet name="DEC WKSHT" sheetId="11" r:id="rId11"/>
    <sheet name="DEC" sheetId="12" r:id="rId12"/>
    <sheet name="JAN WKSHT" sheetId="13" r:id="rId13"/>
    <sheet name="JAN" sheetId="14" r:id="rId14"/>
    <sheet name="FEB WKSHT" sheetId="15" r:id="rId15"/>
    <sheet name="FEB" sheetId="16" r:id="rId16"/>
    <sheet name="MAR WKSHT" sheetId="17" r:id="rId17"/>
    <sheet name="APR WKSHT" sheetId="32" r:id="rId18"/>
    <sheet name="APR" sheetId="26" r:id="rId19"/>
    <sheet name="MAY WKSHT" sheetId="34" r:id="rId20"/>
    <sheet name="MAY" sheetId="20" r:id="rId21"/>
    <sheet name="JUN WKSHT" sheetId="22" r:id="rId22"/>
    <sheet name="JUN" sheetId="23" r:id="rId23"/>
    <sheet name="Period 13 WKSHT" sheetId="28" r:id="rId24"/>
    <sheet name="Period 13" sheetId="29" r:id="rId25"/>
  </sheets>
  <externalReferences>
    <externalReference r:id="rId26"/>
    <externalReference r:id="rId27"/>
    <externalReference r:id="rId28"/>
    <externalReference r:id="rId29"/>
    <externalReference r:id="rId30"/>
  </externalReferences>
  <definedNames>
    <definedName name="DocumentActionClose" localSheetId="6">'OCT WKSHT'!$M$38</definedName>
    <definedName name="_xlnm.Print_Area" localSheetId="18">APR!$A$1:$N$65</definedName>
    <definedName name="_xlnm.Print_Area" localSheetId="3">AUG!$A$1:$N$67</definedName>
    <definedName name="_xlnm.Print_Area" localSheetId="11">DEC!$A$1:$N$65</definedName>
    <definedName name="_xlnm.Print_Area" localSheetId="15">FEB!$A$1:$N$65</definedName>
    <definedName name="_xlnm.Print_Area" localSheetId="13">JAN!$A$1:$N$65</definedName>
    <definedName name="_xlnm.Print_Area" localSheetId="1">JUL!$A$1:$N$65</definedName>
    <definedName name="_xlnm.Print_Area" localSheetId="22">JUN!#REF!</definedName>
    <definedName name="_xlnm.Print_Area" localSheetId="21">'JUN WKSHT'!#REF!</definedName>
    <definedName name="_xlnm.Print_Area" localSheetId="20">MAY!#REF!</definedName>
    <definedName name="_xlnm.Print_Area" localSheetId="9">NOV!$A$1:$N$65</definedName>
    <definedName name="_xlnm.Print_Area" localSheetId="7">OCT!$A$1:$N$65</definedName>
    <definedName name="_xlnm.Print_Area" localSheetId="24">'Period 13'!#REF!</definedName>
    <definedName name="_xlnm.Print_Area" localSheetId="23">'Period 13 WKSHT'!#REF!</definedName>
    <definedName name="_xlnm.Print_Area" localSheetId="5">SEP!$A$1:$N$65</definedName>
    <definedName name="TE1_15867_pagetransition" localSheetId="16">'MAR WKSHT'!$G$41</definedName>
    <definedName name="TE1_16726_pagetransition" localSheetId="16">'MAR WKSHT'!$G$43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20" l="1"/>
  <c r="A64" i="20"/>
  <c r="M62" i="20"/>
  <c r="I62" i="20"/>
  <c r="B62" i="20"/>
  <c r="M60" i="20"/>
  <c r="I60" i="20"/>
  <c r="B60" i="20"/>
  <c r="M58" i="20"/>
  <c r="I58" i="20"/>
  <c r="B58" i="20"/>
  <c r="A58" i="20"/>
  <c r="L56" i="20"/>
  <c r="H56" i="20"/>
  <c r="C56" i="20"/>
  <c r="L55" i="20"/>
  <c r="H55" i="20"/>
  <c r="C55" i="20"/>
  <c r="L54" i="20"/>
  <c r="H54" i="20"/>
  <c r="C54" i="20"/>
  <c r="L53" i="20"/>
  <c r="H53" i="20"/>
  <c r="C53" i="20"/>
  <c r="L52" i="20"/>
  <c r="M56" i="20" s="1"/>
  <c r="H52" i="20"/>
  <c r="C52" i="20"/>
  <c r="L51" i="20"/>
  <c r="H51" i="20"/>
  <c r="I56" i="20" s="1"/>
  <c r="C51" i="20"/>
  <c r="B50" i="20"/>
  <c r="A50" i="20"/>
  <c r="I48" i="20"/>
  <c r="A48" i="20"/>
  <c r="M46" i="20"/>
  <c r="A46" i="20"/>
  <c r="A43" i="20"/>
  <c r="B40" i="20"/>
  <c r="M38" i="20"/>
  <c r="I38" i="20"/>
  <c r="B38" i="20"/>
  <c r="M36" i="20"/>
  <c r="I36" i="20"/>
  <c r="B36" i="20"/>
  <c r="M34" i="20"/>
  <c r="I34" i="20"/>
  <c r="B34" i="20"/>
  <c r="L32" i="20"/>
  <c r="H32" i="20"/>
  <c r="C32" i="20"/>
  <c r="L31" i="20"/>
  <c r="H31" i="20"/>
  <c r="C31" i="20"/>
  <c r="L30" i="20"/>
  <c r="H30" i="20"/>
  <c r="C30" i="20"/>
  <c r="L29" i="20"/>
  <c r="M32" i="20" s="1"/>
  <c r="H29" i="20"/>
  <c r="C29" i="20"/>
  <c r="L28" i="20"/>
  <c r="H28" i="20"/>
  <c r="C28" i="20"/>
  <c r="L27" i="20"/>
  <c r="H27" i="20"/>
  <c r="I32" i="20" s="1"/>
  <c r="C27" i="20"/>
  <c r="B26" i="20"/>
  <c r="I24" i="20"/>
  <c r="B24" i="20"/>
  <c r="B48" i="20" s="1"/>
  <c r="M22" i="20"/>
  <c r="M40" i="20" s="1"/>
  <c r="O41" i="20" s="1"/>
  <c r="B22" i="20"/>
  <c r="B46" i="20" s="1"/>
  <c r="A19" i="20"/>
  <c r="C16" i="20"/>
  <c r="M15" i="20"/>
  <c r="I15" i="20"/>
  <c r="B15" i="20"/>
  <c r="M14" i="20"/>
  <c r="I14" i="20"/>
  <c r="B14" i="20"/>
  <c r="M13" i="20"/>
  <c r="I13" i="20"/>
  <c r="B13" i="20"/>
  <c r="L12" i="20"/>
  <c r="H12" i="20"/>
  <c r="I12" i="20" s="1"/>
  <c r="I16" i="20" s="1"/>
  <c r="O16" i="20" s="1"/>
  <c r="C12" i="20"/>
  <c r="L11" i="20"/>
  <c r="M12" i="20" s="1"/>
  <c r="M16" i="20" s="1"/>
  <c r="O17" i="20" s="1"/>
  <c r="H11" i="20"/>
  <c r="C11" i="20"/>
  <c r="B10" i="20"/>
  <c r="A7" i="20"/>
  <c r="A4" i="20"/>
  <c r="A3" i="20"/>
  <c r="A2" i="20"/>
  <c r="A1" i="20"/>
  <c r="I40" i="20" l="1"/>
  <c r="O40" i="20" s="1"/>
  <c r="M64" i="20"/>
  <c r="O64" i="20" s="1"/>
  <c r="I64" i="20"/>
  <c r="O63" i="20" s="1"/>
  <c r="M66" i="28" l="1"/>
  <c r="M89" i="28"/>
  <c r="L89" i="28"/>
  <c r="L87" i="28"/>
  <c r="L85" i="28"/>
  <c r="L78" i="28"/>
  <c r="K89" i="28"/>
  <c r="K85" i="28"/>
  <c r="K83" i="28"/>
  <c r="K81" i="28"/>
  <c r="J81" i="28"/>
  <c r="J80" i="28"/>
  <c r="J79" i="28"/>
  <c r="J78" i="28"/>
  <c r="J77" i="28"/>
  <c r="J76" i="28"/>
  <c r="H89" i="28"/>
  <c r="H89" i="22"/>
  <c r="H87" i="28"/>
  <c r="H71" i="28"/>
  <c r="H71" i="22"/>
  <c r="K60" i="28"/>
  <c r="K58" i="28"/>
  <c r="H64" i="28"/>
  <c r="H51" i="28"/>
  <c r="H48" i="28"/>
  <c r="H48" i="22"/>
  <c r="K64" i="28"/>
  <c r="K56" i="28"/>
  <c r="J51" i="22"/>
  <c r="J51" i="28"/>
  <c r="J56" i="28"/>
  <c r="J55" i="28"/>
  <c r="J54" i="28"/>
  <c r="J53" i="28"/>
  <c r="J52" i="28"/>
  <c r="L66" i="28"/>
  <c r="L64" i="28"/>
  <c r="L62" i="28"/>
  <c r="L60" i="28"/>
  <c r="K69" i="28"/>
  <c r="K46" i="28"/>
  <c r="K46" i="22"/>
  <c r="B89" i="28"/>
  <c r="B87" i="28"/>
  <c r="G76" i="28"/>
  <c r="H81" i="28" s="1"/>
  <c r="D76" i="28"/>
  <c r="D75" i="28"/>
  <c r="A68" i="28"/>
  <c r="C64" i="28"/>
  <c r="C63" i="28"/>
  <c r="B62" i="28"/>
  <c r="B60" i="28"/>
  <c r="B85" i="28" s="1"/>
  <c r="B58" i="28"/>
  <c r="B83" i="28" s="1"/>
  <c r="H56" i="28"/>
  <c r="C56" i="28"/>
  <c r="C81" i="28" s="1"/>
  <c r="C55" i="28"/>
  <c r="C80" i="28" s="1"/>
  <c r="C54" i="28"/>
  <c r="C79" i="28" s="1"/>
  <c r="C53" i="28"/>
  <c r="C78" i="28" s="1"/>
  <c r="C52" i="28"/>
  <c r="C77" i="28" s="1"/>
  <c r="C51" i="28"/>
  <c r="C74" i="28" s="1"/>
  <c r="B50" i="28"/>
  <c r="B73" i="28" s="1"/>
  <c r="B48" i="28"/>
  <c r="B71" i="28" s="1"/>
  <c r="B46" i="28"/>
  <c r="B69" i="28" s="1"/>
  <c r="A45" i="28"/>
  <c r="G41" i="28"/>
  <c r="G40" i="28"/>
  <c r="H38" i="28"/>
  <c r="G35" i="28"/>
  <c r="C35" i="28"/>
  <c r="G34" i="28"/>
  <c r="H35" i="28" s="1"/>
  <c r="C34" i="28"/>
  <c r="G33" i="28"/>
  <c r="C33" i="28"/>
  <c r="B32" i="28"/>
  <c r="D30" i="28"/>
  <c r="H29" i="28"/>
  <c r="D29" i="28"/>
  <c r="D28" i="28"/>
  <c r="D27" i="28"/>
  <c r="C26" i="28"/>
  <c r="H25" i="28"/>
  <c r="D25" i="28"/>
  <c r="D24" i="28"/>
  <c r="D23" i="28"/>
  <c r="C22" i="28"/>
  <c r="H21" i="28"/>
  <c r="D21" i="28"/>
  <c r="D20" i="28"/>
  <c r="D19" i="28"/>
  <c r="C18" i="28"/>
  <c r="B17" i="28"/>
  <c r="H15" i="28"/>
  <c r="H30" i="28" s="1"/>
  <c r="H14" i="28"/>
  <c r="D14" i="28"/>
  <c r="D13" i="28"/>
  <c r="C12" i="28"/>
  <c r="D11" i="28"/>
  <c r="C10" i="28"/>
  <c r="B9" i="28"/>
  <c r="A8" i="28"/>
  <c r="K66" i="28" l="1"/>
  <c r="H66" i="28"/>
  <c r="H75" i="28"/>
  <c r="L85" i="22" l="1"/>
  <c r="L78" i="34"/>
  <c r="L60" i="22"/>
  <c r="K85" i="22"/>
  <c r="K83" i="22"/>
  <c r="K69" i="22"/>
  <c r="K60" i="22"/>
  <c r="K58" i="22"/>
  <c r="K11" i="22"/>
  <c r="J81" i="22"/>
  <c r="J80" i="22"/>
  <c r="J79" i="22"/>
  <c r="J78" i="22"/>
  <c r="J77" i="22"/>
  <c r="J76" i="22"/>
  <c r="J56" i="22"/>
  <c r="J55" i="22"/>
  <c r="J54" i="22"/>
  <c r="J53" i="22"/>
  <c r="J52" i="22"/>
  <c r="J29" i="22"/>
  <c r="J28" i="22"/>
  <c r="J27" i="22"/>
  <c r="J25" i="22"/>
  <c r="J24" i="22"/>
  <c r="J23" i="22"/>
  <c r="J21" i="22"/>
  <c r="J20" i="22"/>
  <c r="J19" i="22"/>
  <c r="J14" i="22"/>
  <c r="J13" i="22"/>
  <c r="H87" i="22"/>
  <c r="H64" i="22"/>
  <c r="B89" i="22"/>
  <c r="B87" i="22"/>
  <c r="H81" i="22"/>
  <c r="G76" i="22"/>
  <c r="D76" i="22"/>
  <c r="H75" i="22"/>
  <c r="D75" i="22"/>
  <c r="A68" i="22"/>
  <c r="L64" i="22"/>
  <c r="K64" i="22"/>
  <c r="C64" i="22"/>
  <c r="C63" i="22"/>
  <c r="B62" i="22"/>
  <c r="B60" i="22"/>
  <c r="B85" i="22" s="1"/>
  <c r="B58" i="22"/>
  <c r="B83" i="22" s="1"/>
  <c r="H56" i="22"/>
  <c r="C56" i="22"/>
  <c r="C81" i="22" s="1"/>
  <c r="C55" i="22"/>
  <c r="C80" i="22" s="1"/>
  <c r="C54" i="22"/>
  <c r="C79" i="22" s="1"/>
  <c r="C53" i="22"/>
  <c r="C78" i="22" s="1"/>
  <c r="C52" i="22"/>
  <c r="C77" i="22" s="1"/>
  <c r="C51" i="22"/>
  <c r="C74" i="22" s="1"/>
  <c r="B50" i="22"/>
  <c r="B73" i="22" s="1"/>
  <c r="B48" i="22"/>
  <c r="B71" i="22" s="1"/>
  <c r="L62" i="22"/>
  <c r="L66" i="22" s="1"/>
  <c r="B46" i="22"/>
  <c r="B69" i="22" s="1"/>
  <c r="A45" i="22"/>
  <c r="G41" i="22"/>
  <c r="G40" i="22"/>
  <c r="G39" i="22"/>
  <c r="H38" i="22" s="1"/>
  <c r="G35" i="22"/>
  <c r="C35" i="22"/>
  <c r="G34" i="22"/>
  <c r="C34" i="22"/>
  <c r="G33" i="22"/>
  <c r="H35" i="22" s="1"/>
  <c r="C33" i="22"/>
  <c r="B32" i="22"/>
  <c r="D30" i="22"/>
  <c r="H29" i="22"/>
  <c r="D29" i="22"/>
  <c r="D28" i="22"/>
  <c r="D27" i="22"/>
  <c r="C26" i="22"/>
  <c r="H25" i="22"/>
  <c r="D25" i="22"/>
  <c r="D24" i="22"/>
  <c r="D23" i="22"/>
  <c r="C22" i="22"/>
  <c r="H21" i="22"/>
  <c r="D21" i="22"/>
  <c r="D20" i="22"/>
  <c r="D19" i="22"/>
  <c r="C18" i="22"/>
  <c r="B17" i="22"/>
  <c r="H14" i="22"/>
  <c r="H15" i="22" s="1"/>
  <c r="H30" i="22" s="1"/>
  <c r="D14" i="22"/>
  <c r="D13" i="22"/>
  <c r="C12" i="22"/>
  <c r="D11" i="22"/>
  <c r="C10" i="22"/>
  <c r="B9" i="22"/>
  <c r="A8" i="22"/>
  <c r="J23" i="28" l="1"/>
  <c r="J24" i="28"/>
  <c r="J25" i="28"/>
  <c r="J13" i="28"/>
  <c r="K14" i="28" s="1"/>
  <c r="K51" i="28" s="1"/>
  <c r="J27" i="28"/>
  <c r="J21" i="28"/>
  <c r="J14" i="28"/>
  <c r="J28" i="28"/>
  <c r="K11" i="28"/>
  <c r="J19" i="28"/>
  <c r="J29" i="28"/>
  <c r="J35" i="28" s="1"/>
  <c r="J20" i="28"/>
  <c r="K25" i="22"/>
  <c r="L25" i="22" s="1"/>
  <c r="K21" i="22"/>
  <c r="L21" i="22" s="1"/>
  <c r="J33" i="22"/>
  <c r="J35" i="22"/>
  <c r="K14" i="22"/>
  <c r="K51" i="22" s="1"/>
  <c r="J34" i="22"/>
  <c r="K15" i="22"/>
  <c r="L15" i="22" s="1"/>
  <c r="K81" i="22"/>
  <c r="K89" i="22" s="1"/>
  <c r="H51" i="22"/>
  <c r="L87" i="22"/>
  <c r="L89" i="22" s="1"/>
  <c r="L76" i="22"/>
  <c r="L78" i="22" s="1"/>
  <c r="K56" i="22"/>
  <c r="K29" i="22"/>
  <c r="L29" i="22" s="1"/>
  <c r="K66" i="22" l="1"/>
  <c r="M66" i="22" s="1"/>
  <c r="K21" i="28"/>
  <c r="J34" i="28"/>
  <c r="K35" i="22"/>
  <c r="L76" i="28"/>
  <c r="K15" i="28"/>
  <c r="L21" i="28"/>
  <c r="K29" i="28"/>
  <c r="L15" i="28"/>
  <c r="J33" i="28"/>
  <c r="K35" i="28" s="1"/>
  <c r="K25" i="28"/>
  <c r="L25" i="28" s="1"/>
  <c r="K30" i="22"/>
  <c r="M89" i="22"/>
  <c r="K30" i="28" l="1"/>
  <c r="A64" i="29" l="1"/>
  <c r="M62" i="29"/>
  <c r="I62" i="29"/>
  <c r="B62" i="29"/>
  <c r="M60" i="29"/>
  <c r="I60" i="29"/>
  <c r="B60" i="29"/>
  <c r="M58" i="29"/>
  <c r="I58" i="29"/>
  <c r="B58" i="29"/>
  <c r="A58" i="29"/>
  <c r="L56" i="29"/>
  <c r="H56" i="29"/>
  <c r="C56" i="29"/>
  <c r="L55" i="29"/>
  <c r="H55" i="29"/>
  <c r="C55" i="29"/>
  <c r="L54" i="29"/>
  <c r="H54" i="29"/>
  <c r="C54" i="29"/>
  <c r="L53" i="29"/>
  <c r="H53" i="29"/>
  <c r="C53" i="29"/>
  <c r="L52" i="29"/>
  <c r="H52" i="29"/>
  <c r="C52" i="29"/>
  <c r="L51" i="29"/>
  <c r="H51" i="29"/>
  <c r="C51" i="29"/>
  <c r="B50" i="29"/>
  <c r="A50" i="29"/>
  <c r="I48" i="29"/>
  <c r="A48" i="29"/>
  <c r="M46" i="29"/>
  <c r="A46" i="29"/>
  <c r="A43" i="29"/>
  <c r="B40" i="29"/>
  <c r="B64" i="29" s="1"/>
  <c r="M38" i="29"/>
  <c r="I38" i="29"/>
  <c r="B38" i="29"/>
  <c r="M36" i="29"/>
  <c r="I36" i="29"/>
  <c r="B36" i="29"/>
  <c r="M34" i="29"/>
  <c r="I34" i="29"/>
  <c r="B34" i="29"/>
  <c r="L32" i="29"/>
  <c r="H32" i="29"/>
  <c r="C32" i="29"/>
  <c r="L31" i="29"/>
  <c r="H31" i="29"/>
  <c r="C31" i="29"/>
  <c r="L30" i="29"/>
  <c r="H30" i="29"/>
  <c r="C30" i="29"/>
  <c r="L29" i="29"/>
  <c r="H29" i="29"/>
  <c r="C29" i="29"/>
  <c r="L28" i="29"/>
  <c r="H28" i="29"/>
  <c r="C28" i="29"/>
  <c r="L27" i="29"/>
  <c r="H27" i="29"/>
  <c r="C27" i="29"/>
  <c r="B26" i="29"/>
  <c r="I24" i="29"/>
  <c r="B24" i="29"/>
  <c r="B48" i="29" s="1"/>
  <c r="M22" i="29"/>
  <c r="B22" i="29"/>
  <c r="B46" i="29" s="1"/>
  <c r="A19" i="29"/>
  <c r="C16" i="29"/>
  <c r="M15" i="29"/>
  <c r="I15" i="29"/>
  <c r="B15" i="29"/>
  <c r="M14" i="29"/>
  <c r="I14" i="29"/>
  <c r="B14" i="29"/>
  <c r="M13" i="29"/>
  <c r="I13" i="29"/>
  <c r="B13" i="29"/>
  <c r="L12" i="29"/>
  <c r="H12" i="29"/>
  <c r="C12" i="29"/>
  <c r="L11" i="29"/>
  <c r="H11" i="29"/>
  <c r="C11" i="29"/>
  <c r="B10" i="29"/>
  <c r="A7" i="29"/>
  <c r="A4" i="29"/>
  <c r="A3" i="29"/>
  <c r="A2" i="29"/>
  <c r="A1" i="29"/>
  <c r="M12" i="29" l="1"/>
  <c r="M16" i="29" s="1"/>
  <c r="O17" i="29" s="1"/>
  <c r="M56" i="29"/>
  <c r="M64" i="29" s="1"/>
  <c r="O64" i="29" s="1"/>
  <c r="I56" i="29"/>
  <c r="I64" i="29" s="1"/>
  <c r="O63" i="29" s="1"/>
  <c r="I12" i="29"/>
  <c r="I16" i="29" s="1"/>
  <c r="O16" i="29" s="1"/>
  <c r="I32" i="29"/>
  <c r="I40" i="29" s="1"/>
  <c r="O40" i="29" s="1"/>
  <c r="M32" i="29"/>
  <c r="M40" i="29" s="1"/>
  <c r="O41" i="29" s="1"/>
  <c r="A64" i="23" l="1"/>
  <c r="M62" i="23"/>
  <c r="I62" i="23"/>
  <c r="B62" i="23"/>
  <c r="M60" i="23"/>
  <c r="I60" i="23"/>
  <c r="B60" i="23"/>
  <c r="M58" i="23"/>
  <c r="I58" i="23"/>
  <c r="B58" i="23"/>
  <c r="A58" i="23"/>
  <c r="L56" i="23"/>
  <c r="H56" i="23"/>
  <c r="C56" i="23"/>
  <c r="L55" i="23"/>
  <c r="H55" i="23"/>
  <c r="C55" i="23"/>
  <c r="L54" i="23"/>
  <c r="H54" i="23"/>
  <c r="C54" i="23"/>
  <c r="L53" i="23"/>
  <c r="H53" i="23"/>
  <c r="C53" i="23"/>
  <c r="L52" i="23"/>
  <c r="H52" i="23"/>
  <c r="C52" i="23"/>
  <c r="L51" i="23"/>
  <c r="H51" i="23"/>
  <c r="C51" i="23"/>
  <c r="B50" i="23"/>
  <c r="A50" i="23"/>
  <c r="I48" i="23"/>
  <c r="A48" i="23"/>
  <c r="M46" i="23"/>
  <c r="A46" i="23"/>
  <c r="A43" i="23"/>
  <c r="B40" i="23"/>
  <c r="B64" i="23" s="1"/>
  <c r="M38" i="23"/>
  <c r="I38" i="23"/>
  <c r="B38" i="23"/>
  <c r="M36" i="23"/>
  <c r="I36" i="23"/>
  <c r="B36" i="23"/>
  <c r="M34" i="23"/>
  <c r="I34" i="23"/>
  <c r="B34" i="23"/>
  <c r="L32" i="23"/>
  <c r="H32" i="23"/>
  <c r="C32" i="23"/>
  <c r="L31" i="23"/>
  <c r="H31" i="23"/>
  <c r="C31" i="23"/>
  <c r="L30" i="23"/>
  <c r="H30" i="23"/>
  <c r="C30" i="23"/>
  <c r="L29" i="23"/>
  <c r="H29" i="23"/>
  <c r="C29" i="23"/>
  <c r="L28" i="23"/>
  <c r="H28" i="23"/>
  <c r="C28" i="23"/>
  <c r="L27" i="23"/>
  <c r="H27" i="23"/>
  <c r="C27" i="23"/>
  <c r="B26" i="23"/>
  <c r="I24" i="23"/>
  <c r="B24" i="23"/>
  <c r="B48" i="23" s="1"/>
  <c r="M22" i="23"/>
  <c r="B22" i="23"/>
  <c r="B46" i="23" s="1"/>
  <c r="A19" i="23"/>
  <c r="C16" i="23"/>
  <c r="M15" i="23"/>
  <c r="I15" i="23"/>
  <c r="B15" i="23"/>
  <c r="M14" i="23"/>
  <c r="I14" i="23"/>
  <c r="B14" i="23"/>
  <c r="M13" i="23"/>
  <c r="I13" i="23"/>
  <c r="B13" i="23"/>
  <c r="L12" i="23"/>
  <c r="H12" i="23"/>
  <c r="C12" i="23"/>
  <c r="L11" i="23"/>
  <c r="M12" i="23" s="1"/>
  <c r="H11" i="23"/>
  <c r="I12" i="23" s="1"/>
  <c r="C11" i="23"/>
  <c r="B10" i="23"/>
  <c r="A7" i="23"/>
  <c r="A4" i="23"/>
  <c r="A3" i="23"/>
  <c r="A2" i="23"/>
  <c r="A1" i="23"/>
  <c r="M16" i="23" l="1"/>
  <c r="O17" i="23" s="1"/>
  <c r="I16" i="23"/>
  <c r="O16" i="23" s="1"/>
  <c r="I56" i="23"/>
  <c r="I64" i="23" s="1"/>
  <c r="O63" i="23" s="1"/>
  <c r="M32" i="23"/>
  <c r="M40" i="23" s="1"/>
  <c r="O41" i="23" s="1"/>
  <c r="M56" i="23"/>
  <c r="M64" i="23" s="1"/>
  <c r="O64" i="23" s="1"/>
  <c r="I32" i="23"/>
  <c r="I40" i="23" s="1"/>
  <c r="O40" i="23" s="1"/>
  <c r="K64" i="1" l="1"/>
  <c r="H64" i="1"/>
  <c r="K46" i="1"/>
  <c r="L60" i="1" s="1"/>
  <c r="B89" i="34" l="1"/>
  <c r="H87" i="34"/>
  <c r="G76" i="34"/>
  <c r="H81" i="34" s="1"/>
  <c r="L64" i="34"/>
  <c r="K64" i="34"/>
  <c r="H56" i="34"/>
  <c r="H51" i="34"/>
  <c r="B48" i="34"/>
  <c r="B71" i="34" s="1"/>
  <c r="G41" i="34"/>
  <c r="G40" i="34"/>
  <c r="G39" i="34"/>
  <c r="G35" i="34"/>
  <c r="G34" i="34"/>
  <c r="G33" i="34"/>
  <c r="H35" i="34" s="1"/>
  <c r="H29" i="34"/>
  <c r="H25" i="34"/>
  <c r="H21" i="34"/>
  <c r="H14" i="34"/>
  <c r="H75" i="34" s="1"/>
  <c r="H15" i="34" l="1"/>
  <c r="H30" i="34"/>
  <c r="H38" i="34"/>
  <c r="H14" i="32" l="1"/>
  <c r="H75" i="32" s="1"/>
  <c r="H15" i="32"/>
  <c r="H21" i="32"/>
  <c r="H25" i="32"/>
  <c r="H29" i="32"/>
  <c r="G33" i="32"/>
  <c r="G34" i="32"/>
  <c r="G35" i="32"/>
  <c r="G39" i="32"/>
  <c r="G40" i="32"/>
  <c r="G41" i="32"/>
  <c r="B48" i="32"/>
  <c r="B71" i="32" s="1"/>
  <c r="H51" i="32"/>
  <c r="H56" i="32"/>
  <c r="K64" i="32"/>
  <c r="L64" i="32"/>
  <c r="G76" i="32"/>
  <c r="H81" i="32" s="1"/>
  <c r="H87" i="32"/>
  <c r="C89" i="32"/>
  <c r="H30" i="32" l="1"/>
  <c r="H35" i="32"/>
  <c r="H64" i="34"/>
  <c r="H38" i="32"/>
  <c r="L15" i="17"/>
  <c r="H38" i="17" l="1"/>
  <c r="H14" i="13" l="1"/>
  <c r="H51" i="13" s="1"/>
  <c r="G81" i="11" l="1"/>
  <c r="I58" i="12"/>
  <c r="H56" i="12"/>
  <c r="G76" i="11"/>
  <c r="H51" i="12" s="1"/>
  <c r="H29" i="12"/>
  <c r="H21" i="11"/>
  <c r="I13" i="12" s="1"/>
  <c r="G34" i="11"/>
  <c r="H14" i="30"/>
  <c r="H75" i="30" s="1"/>
  <c r="H15" i="30"/>
  <c r="H21" i="30"/>
  <c r="H25" i="30"/>
  <c r="H29" i="30"/>
  <c r="I15" i="10" s="1"/>
  <c r="G33" i="30"/>
  <c r="G34" i="30"/>
  <c r="G35" i="30"/>
  <c r="G40" i="30"/>
  <c r="G41" i="30"/>
  <c r="B48" i="30"/>
  <c r="B71" i="30" s="1"/>
  <c r="H51" i="30"/>
  <c r="H56" i="30"/>
  <c r="K64" i="30"/>
  <c r="L64" i="30"/>
  <c r="G76" i="30"/>
  <c r="H81" i="30" s="1"/>
  <c r="H87" i="30"/>
  <c r="B89" i="30"/>
  <c r="H11" i="10"/>
  <c r="G39" i="7"/>
  <c r="G41" i="7"/>
  <c r="G40" i="7"/>
  <c r="H56" i="5"/>
  <c r="G35" i="5"/>
  <c r="G40" i="5"/>
  <c r="G33" i="5"/>
  <c r="L85" i="3"/>
  <c r="L85" i="5" s="1"/>
  <c r="L60" i="3"/>
  <c r="L60" i="5" s="1"/>
  <c r="L60" i="7" s="1"/>
  <c r="G40" i="15"/>
  <c r="G41" i="15"/>
  <c r="G40" i="13"/>
  <c r="I34" i="26"/>
  <c r="G40" i="11"/>
  <c r="G40" i="3"/>
  <c r="H38" i="3" s="1"/>
  <c r="G40" i="1"/>
  <c r="G39" i="11"/>
  <c r="G39" i="15"/>
  <c r="G39" i="13"/>
  <c r="G41" i="3"/>
  <c r="G39" i="3"/>
  <c r="G41" i="11"/>
  <c r="G41" i="5"/>
  <c r="G39" i="5"/>
  <c r="G41" i="1"/>
  <c r="G39" i="1"/>
  <c r="G76" i="3"/>
  <c r="H87" i="3"/>
  <c r="I62" i="4" s="1"/>
  <c r="J20" i="1"/>
  <c r="J20" i="3" s="1"/>
  <c r="J20" i="5" s="1"/>
  <c r="J20" i="7" s="1"/>
  <c r="J20" i="30" s="1"/>
  <c r="J20" i="11" s="1"/>
  <c r="J20" i="13" s="1"/>
  <c r="J20" i="15" s="1"/>
  <c r="J20" i="17" s="1"/>
  <c r="J20" i="32" s="1"/>
  <c r="J20" i="34" s="1"/>
  <c r="J21" i="1"/>
  <c r="J21" i="3" s="1"/>
  <c r="J21" i="5" s="1"/>
  <c r="J21" i="7" s="1"/>
  <c r="J21" i="30" s="1"/>
  <c r="J21" i="11" s="1"/>
  <c r="J21" i="13" s="1"/>
  <c r="J21" i="15" s="1"/>
  <c r="J21" i="17" s="1"/>
  <c r="J21" i="32" s="1"/>
  <c r="J21" i="34" s="1"/>
  <c r="H14" i="1"/>
  <c r="H75" i="1" s="1"/>
  <c r="H56" i="1"/>
  <c r="A1" i="26"/>
  <c r="A2" i="26"/>
  <c r="A3" i="26"/>
  <c r="A4" i="26"/>
  <c r="A7" i="26"/>
  <c r="B10" i="26"/>
  <c r="H11" i="26"/>
  <c r="B13" i="26"/>
  <c r="B14" i="26"/>
  <c r="B15" i="26"/>
  <c r="C16" i="26"/>
  <c r="A19" i="26"/>
  <c r="B26" i="26"/>
  <c r="C27" i="26"/>
  <c r="H27" i="26"/>
  <c r="C28" i="26"/>
  <c r="H28" i="26"/>
  <c r="C29" i="26"/>
  <c r="H29" i="26"/>
  <c r="C30" i="26"/>
  <c r="H30" i="26"/>
  <c r="C31" i="26"/>
  <c r="H31" i="26"/>
  <c r="C32" i="26"/>
  <c r="H32" i="26"/>
  <c r="B34" i="26"/>
  <c r="B36" i="26"/>
  <c r="I36" i="26"/>
  <c r="B38" i="26"/>
  <c r="B40" i="26"/>
  <c r="B64" i="26" s="1"/>
  <c r="A43" i="26"/>
  <c r="A46" i="26"/>
  <c r="A48" i="26"/>
  <c r="A50" i="26"/>
  <c r="H52" i="26"/>
  <c r="H53" i="26"/>
  <c r="H54" i="26"/>
  <c r="H55" i="26"/>
  <c r="H56" i="26"/>
  <c r="A58" i="26"/>
  <c r="I58" i="26"/>
  <c r="I60" i="26"/>
  <c r="M62" i="26"/>
  <c r="A64" i="26"/>
  <c r="I13" i="26"/>
  <c r="I14" i="26"/>
  <c r="I15" i="26"/>
  <c r="I62" i="26"/>
  <c r="H14" i="17"/>
  <c r="H15" i="17" s="1"/>
  <c r="H21" i="17"/>
  <c r="H25" i="17"/>
  <c r="H29" i="17"/>
  <c r="G33" i="17"/>
  <c r="G34" i="17"/>
  <c r="G35" i="17"/>
  <c r="B48" i="17"/>
  <c r="H56" i="17"/>
  <c r="K64" i="17"/>
  <c r="H64" i="32" s="1"/>
  <c r="L64" i="17"/>
  <c r="G76" i="17"/>
  <c r="H87" i="17"/>
  <c r="B89" i="17"/>
  <c r="A1" i="16"/>
  <c r="A2" i="16"/>
  <c r="A3" i="16"/>
  <c r="A4" i="16"/>
  <c r="A7" i="16"/>
  <c r="B10" i="16"/>
  <c r="H11" i="16"/>
  <c r="B13" i="16"/>
  <c r="B14" i="16"/>
  <c r="B15" i="16"/>
  <c r="C16" i="16"/>
  <c r="A19" i="16"/>
  <c r="B26" i="16"/>
  <c r="C27" i="16"/>
  <c r="H27" i="16"/>
  <c r="C28" i="16"/>
  <c r="H28" i="16"/>
  <c r="C29" i="16"/>
  <c r="H29" i="16"/>
  <c r="C30" i="16"/>
  <c r="H30" i="16"/>
  <c r="C31" i="16"/>
  <c r="H31" i="16"/>
  <c r="C32" i="16"/>
  <c r="H32" i="16"/>
  <c r="B34" i="16"/>
  <c r="I34" i="16"/>
  <c r="B36" i="16"/>
  <c r="I36" i="16"/>
  <c r="B38" i="16"/>
  <c r="B40" i="16"/>
  <c r="B64" i="16" s="1"/>
  <c r="A43" i="16"/>
  <c r="A46" i="16"/>
  <c r="A48" i="16"/>
  <c r="A50" i="16"/>
  <c r="H52" i="16"/>
  <c r="H53" i="16"/>
  <c r="H54" i="16"/>
  <c r="H55" i="16"/>
  <c r="H56" i="16"/>
  <c r="A58" i="16"/>
  <c r="I58" i="16"/>
  <c r="I60" i="16"/>
  <c r="M62" i="16"/>
  <c r="A64" i="16"/>
  <c r="H14" i="15"/>
  <c r="H51" i="15" s="1"/>
  <c r="H21" i="15"/>
  <c r="I13" i="16" s="1"/>
  <c r="H25" i="15"/>
  <c r="I14" i="16" s="1"/>
  <c r="H29" i="15"/>
  <c r="I15" i="16" s="1"/>
  <c r="G33" i="15"/>
  <c r="G34" i="15"/>
  <c r="G35" i="15"/>
  <c r="B48" i="15"/>
  <c r="B24" i="16" s="1"/>
  <c r="B48" i="16" s="1"/>
  <c r="H56" i="15"/>
  <c r="K64" i="15"/>
  <c r="L64" i="15"/>
  <c r="G76" i="15"/>
  <c r="H51" i="16" s="1"/>
  <c r="H87" i="15"/>
  <c r="I62" i="16" s="1"/>
  <c r="B89" i="15"/>
  <c r="A1" i="14"/>
  <c r="A2" i="14"/>
  <c r="A3" i="14"/>
  <c r="A4" i="14"/>
  <c r="A7" i="14"/>
  <c r="B10" i="14"/>
  <c r="H11" i="14"/>
  <c r="B13" i="14"/>
  <c r="B14" i="14"/>
  <c r="B15" i="14"/>
  <c r="C16" i="14"/>
  <c r="A19" i="14"/>
  <c r="B26" i="14"/>
  <c r="C27" i="14"/>
  <c r="H27" i="14"/>
  <c r="C28" i="14"/>
  <c r="H28" i="14"/>
  <c r="C29" i="14"/>
  <c r="H29" i="14"/>
  <c r="C30" i="14"/>
  <c r="H30" i="14"/>
  <c r="C31" i="14"/>
  <c r="H31" i="14"/>
  <c r="C32" i="14"/>
  <c r="H32" i="14"/>
  <c r="B34" i="14"/>
  <c r="I34" i="14"/>
  <c r="B36" i="14"/>
  <c r="I36" i="14"/>
  <c r="B38" i="14"/>
  <c r="B40" i="14"/>
  <c r="B64" i="14" s="1"/>
  <c r="A43" i="14"/>
  <c r="A46" i="14"/>
  <c r="A48" i="14"/>
  <c r="A50" i="14"/>
  <c r="H52" i="14"/>
  <c r="H53" i="14"/>
  <c r="H54" i="14"/>
  <c r="H55" i="14"/>
  <c r="H56" i="14"/>
  <c r="A58" i="14"/>
  <c r="I58" i="14"/>
  <c r="I60" i="14"/>
  <c r="M62" i="14"/>
  <c r="A64" i="14"/>
  <c r="H21" i="13"/>
  <c r="I13" i="14" s="1"/>
  <c r="H25" i="13"/>
  <c r="I14" i="14" s="1"/>
  <c r="H29" i="13"/>
  <c r="I15" i="14" s="1"/>
  <c r="G33" i="13"/>
  <c r="G34" i="13"/>
  <c r="G35" i="13"/>
  <c r="G41" i="13"/>
  <c r="B48" i="13"/>
  <c r="B24" i="14" s="1"/>
  <c r="B48" i="14" s="1"/>
  <c r="H56" i="13"/>
  <c r="K64" i="13"/>
  <c r="M38" i="14" s="1"/>
  <c r="L64" i="13"/>
  <c r="D75" i="13"/>
  <c r="D75" i="15" s="1"/>
  <c r="D75" i="17" s="1"/>
  <c r="D75" i="32" s="1"/>
  <c r="D75" i="34" s="1"/>
  <c r="D76" i="13"/>
  <c r="D76" i="15" s="1"/>
  <c r="D76" i="17" s="1"/>
  <c r="D76" i="32" s="1"/>
  <c r="D76" i="34" s="1"/>
  <c r="G76" i="13"/>
  <c r="H87" i="13"/>
  <c r="I62" i="14" s="1"/>
  <c r="B89" i="13"/>
  <c r="A1" i="12"/>
  <c r="A2" i="12"/>
  <c r="A3" i="12"/>
  <c r="A4" i="12"/>
  <c r="A7" i="12"/>
  <c r="B10" i="12"/>
  <c r="B13" i="12"/>
  <c r="B14" i="12"/>
  <c r="B15" i="12"/>
  <c r="C16" i="12"/>
  <c r="A19" i="12"/>
  <c r="B26" i="12"/>
  <c r="C27" i="12"/>
  <c r="H27" i="12"/>
  <c r="C28" i="12"/>
  <c r="H28" i="12"/>
  <c r="C29" i="12"/>
  <c r="C30" i="12"/>
  <c r="H30" i="12"/>
  <c r="C31" i="12"/>
  <c r="H31" i="12"/>
  <c r="C32" i="12"/>
  <c r="H32" i="12"/>
  <c r="B34" i="12"/>
  <c r="I34" i="12"/>
  <c r="B36" i="12"/>
  <c r="I36" i="12"/>
  <c r="B38" i="12"/>
  <c r="B40" i="12"/>
  <c r="B64" i="12"/>
  <c r="A43" i="12"/>
  <c r="A46" i="12"/>
  <c r="A48" i="12"/>
  <c r="A50" i="12"/>
  <c r="H52" i="12"/>
  <c r="H53" i="12"/>
  <c r="H54" i="12"/>
  <c r="H55" i="12"/>
  <c r="A58" i="12"/>
  <c r="I60" i="12"/>
  <c r="M62" i="12"/>
  <c r="A64" i="12"/>
  <c r="H14" i="11"/>
  <c r="H75" i="11" s="1"/>
  <c r="H25" i="11"/>
  <c r="I14" i="12" s="1"/>
  <c r="H29" i="11"/>
  <c r="I15" i="12" s="1"/>
  <c r="B48" i="11"/>
  <c r="B24" i="12" s="1"/>
  <c r="B48" i="12" s="1"/>
  <c r="H56" i="11"/>
  <c r="K64" i="11"/>
  <c r="M38" i="12" s="1"/>
  <c r="H64" i="11"/>
  <c r="I38" i="12" s="1"/>
  <c r="L64" i="11"/>
  <c r="H87" i="11"/>
  <c r="I62" i="12" s="1"/>
  <c r="B89" i="11"/>
  <c r="A1" i="10"/>
  <c r="A2" i="10"/>
  <c r="A3" i="10"/>
  <c r="A4" i="10"/>
  <c r="A7" i="10"/>
  <c r="B10" i="10"/>
  <c r="B13" i="10"/>
  <c r="B14" i="10"/>
  <c r="B15" i="10"/>
  <c r="C16" i="10"/>
  <c r="A19" i="10"/>
  <c r="B26" i="10"/>
  <c r="C27" i="10"/>
  <c r="H27" i="10"/>
  <c r="C28" i="10"/>
  <c r="H28" i="10"/>
  <c r="C29" i="10"/>
  <c r="H29" i="10"/>
  <c r="C30" i="10"/>
  <c r="H30" i="10"/>
  <c r="C31" i="10"/>
  <c r="H31" i="10"/>
  <c r="C32" i="10"/>
  <c r="H32" i="10"/>
  <c r="B34" i="10"/>
  <c r="I34" i="10"/>
  <c r="B36" i="10"/>
  <c r="I36" i="10"/>
  <c r="B38" i="10"/>
  <c r="B40" i="10"/>
  <c r="B64" i="10" s="1"/>
  <c r="A43" i="10"/>
  <c r="A46" i="10"/>
  <c r="A48" i="10"/>
  <c r="A50" i="10"/>
  <c r="H52" i="10"/>
  <c r="H53" i="10"/>
  <c r="H54" i="10"/>
  <c r="H55" i="10"/>
  <c r="H56" i="10"/>
  <c r="A58" i="10"/>
  <c r="I58" i="10"/>
  <c r="I60" i="10"/>
  <c r="M62" i="10"/>
  <c r="A64" i="10"/>
  <c r="I13" i="10"/>
  <c r="I14" i="10"/>
  <c r="I62" i="10"/>
  <c r="A1" i="8"/>
  <c r="A2" i="8"/>
  <c r="A3" i="8"/>
  <c r="A4" i="8"/>
  <c r="A7" i="8"/>
  <c r="B10" i="8"/>
  <c r="H11" i="8"/>
  <c r="B13" i="8"/>
  <c r="B14" i="8"/>
  <c r="B15" i="8"/>
  <c r="C16" i="8"/>
  <c r="A19" i="8"/>
  <c r="B26" i="8"/>
  <c r="C27" i="8"/>
  <c r="H27" i="8"/>
  <c r="C28" i="8"/>
  <c r="H28" i="8"/>
  <c r="C29" i="8"/>
  <c r="H29" i="8"/>
  <c r="C30" i="8"/>
  <c r="H30" i="8"/>
  <c r="C31" i="8"/>
  <c r="H31" i="8"/>
  <c r="C32" i="8"/>
  <c r="H32" i="8"/>
  <c r="B34" i="8"/>
  <c r="I34" i="8"/>
  <c r="B36" i="8"/>
  <c r="I36" i="8"/>
  <c r="B38" i="8"/>
  <c r="B40" i="8"/>
  <c r="B64" i="8" s="1"/>
  <c r="A43" i="8"/>
  <c r="A46" i="8"/>
  <c r="A48" i="8"/>
  <c r="A50" i="8"/>
  <c r="H52" i="8"/>
  <c r="H53" i="8"/>
  <c r="H54" i="8"/>
  <c r="H55" i="8"/>
  <c r="H56" i="8"/>
  <c r="A58" i="8"/>
  <c r="I58" i="8"/>
  <c r="I60" i="8"/>
  <c r="M62" i="8"/>
  <c r="A64" i="8"/>
  <c r="H14" i="7"/>
  <c r="H75" i="7" s="1"/>
  <c r="H21" i="7"/>
  <c r="I13" i="8"/>
  <c r="H25" i="7"/>
  <c r="H29" i="7"/>
  <c r="I15" i="8" s="1"/>
  <c r="G33" i="7"/>
  <c r="G34" i="7"/>
  <c r="G35" i="7"/>
  <c r="B48" i="7"/>
  <c r="B24" i="8" s="1"/>
  <c r="B48" i="8" s="1"/>
  <c r="H56" i="7"/>
  <c r="K64" i="7"/>
  <c r="H64" i="30" s="1"/>
  <c r="L64" i="7"/>
  <c r="G76" i="7"/>
  <c r="H51" i="8" s="1"/>
  <c r="H87" i="7"/>
  <c r="I62" i="8" s="1"/>
  <c r="B89" i="7"/>
  <c r="A1" i="6"/>
  <c r="A2" i="6"/>
  <c r="A3" i="6"/>
  <c r="A4" i="6"/>
  <c r="A7" i="6"/>
  <c r="B10" i="6"/>
  <c r="B13" i="6"/>
  <c r="B14" i="6"/>
  <c r="B15" i="6"/>
  <c r="C16" i="6"/>
  <c r="A19" i="6"/>
  <c r="B24" i="6"/>
  <c r="B48" i="6" s="1"/>
  <c r="B26" i="6"/>
  <c r="C27" i="6"/>
  <c r="H27" i="6"/>
  <c r="C28" i="6"/>
  <c r="H28" i="6"/>
  <c r="C29" i="6"/>
  <c r="H29" i="6"/>
  <c r="C30" i="6"/>
  <c r="H30" i="6"/>
  <c r="C31" i="6"/>
  <c r="H31" i="6"/>
  <c r="C32" i="6"/>
  <c r="H32" i="6"/>
  <c r="I32" i="6" s="1"/>
  <c r="B34" i="6"/>
  <c r="I34" i="6"/>
  <c r="B36" i="6"/>
  <c r="I36" i="6"/>
  <c r="B38" i="6"/>
  <c r="B40" i="6"/>
  <c r="B64" i="6" s="1"/>
  <c r="A43" i="6"/>
  <c r="A46" i="6"/>
  <c r="A48" i="6"/>
  <c r="A50" i="6"/>
  <c r="H52" i="6"/>
  <c r="H53" i="6"/>
  <c r="H54" i="6"/>
  <c r="H55" i="6"/>
  <c r="H56" i="6"/>
  <c r="A58" i="6"/>
  <c r="I58" i="6"/>
  <c r="I60" i="6"/>
  <c r="M62" i="6"/>
  <c r="A64" i="6"/>
  <c r="H21" i="5"/>
  <c r="I13" i="6" s="1"/>
  <c r="H25" i="5"/>
  <c r="I14" i="6" s="1"/>
  <c r="H29" i="5"/>
  <c r="I15" i="6" s="1"/>
  <c r="G34" i="5"/>
  <c r="K64" i="5"/>
  <c r="M38" i="6" s="1"/>
  <c r="L64" i="5"/>
  <c r="G76" i="5"/>
  <c r="H81" i="5" s="1"/>
  <c r="H87" i="5"/>
  <c r="I62" i="6" s="1"/>
  <c r="B89" i="5"/>
  <c r="A1" i="4"/>
  <c r="A2" i="4"/>
  <c r="A3" i="4"/>
  <c r="A4" i="4"/>
  <c r="A7" i="4"/>
  <c r="B10" i="4"/>
  <c r="H11" i="4"/>
  <c r="B13" i="4"/>
  <c r="B14" i="4"/>
  <c r="B15" i="4"/>
  <c r="C16" i="4"/>
  <c r="A19" i="4"/>
  <c r="B26" i="4"/>
  <c r="C27" i="4"/>
  <c r="H27" i="4"/>
  <c r="I32" i="4" s="1"/>
  <c r="C28" i="4"/>
  <c r="H28" i="4"/>
  <c r="C29" i="4"/>
  <c r="H29" i="4"/>
  <c r="C30" i="4"/>
  <c r="H30" i="4"/>
  <c r="C31" i="4"/>
  <c r="H31" i="4"/>
  <c r="C32" i="4"/>
  <c r="H32" i="4"/>
  <c r="B34" i="4"/>
  <c r="I34" i="4"/>
  <c r="B36" i="4"/>
  <c r="I36" i="4"/>
  <c r="B38" i="4"/>
  <c r="B40" i="4"/>
  <c r="B64" i="4" s="1"/>
  <c r="A43" i="4"/>
  <c r="A46" i="4"/>
  <c r="A48" i="4"/>
  <c r="A50" i="4"/>
  <c r="H52" i="4"/>
  <c r="H53" i="4"/>
  <c r="H54" i="4"/>
  <c r="H55" i="4"/>
  <c r="H56" i="4"/>
  <c r="A58" i="4"/>
  <c r="I58" i="4"/>
  <c r="I60" i="4"/>
  <c r="M62" i="4"/>
  <c r="A64" i="4"/>
  <c r="A8" i="3"/>
  <c r="A8" i="5" s="1"/>
  <c r="A8" i="7" s="1"/>
  <c r="A8" i="30" s="1"/>
  <c r="A8" i="11" s="1"/>
  <c r="A8" i="13" s="1"/>
  <c r="A8" i="15" s="1"/>
  <c r="A8" i="17" s="1"/>
  <c r="A8" i="32" s="1"/>
  <c r="A8" i="34" s="1"/>
  <c r="B9" i="3"/>
  <c r="B9" i="5" s="1"/>
  <c r="B9" i="7" s="1"/>
  <c r="B9" i="30" s="1"/>
  <c r="B9" i="11" s="1"/>
  <c r="B9" i="13" s="1"/>
  <c r="B9" i="15" s="1"/>
  <c r="B9" i="17" s="1"/>
  <c r="B9" i="32" s="1"/>
  <c r="B9" i="34" s="1"/>
  <c r="C10" i="3"/>
  <c r="C10" i="5"/>
  <c r="C10" i="7" s="1"/>
  <c r="C10" i="30" s="1"/>
  <c r="C10" i="11" s="1"/>
  <c r="C10" i="13" s="1"/>
  <c r="C10" i="15" s="1"/>
  <c r="C10" i="17" s="1"/>
  <c r="C10" i="32" s="1"/>
  <c r="C10" i="34" s="1"/>
  <c r="D11" i="3"/>
  <c r="D11" i="5" s="1"/>
  <c r="D11" i="7" s="1"/>
  <c r="D11" i="30" s="1"/>
  <c r="D11" i="11" s="1"/>
  <c r="D11" i="13" s="1"/>
  <c r="D11" i="15" s="1"/>
  <c r="D11" i="17" s="1"/>
  <c r="D11" i="32" s="1"/>
  <c r="D11" i="34" s="1"/>
  <c r="C12" i="3"/>
  <c r="C12" i="5" s="1"/>
  <c r="C12" i="7" s="1"/>
  <c r="C12" i="30" s="1"/>
  <c r="C12" i="11" s="1"/>
  <c r="C12" i="13" s="1"/>
  <c r="C12" i="15" s="1"/>
  <c r="C12" i="17" s="1"/>
  <c r="C12" i="32" s="1"/>
  <c r="C12" i="34" s="1"/>
  <c r="D13" i="3"/>
  <c r="D13" i="5"/>
  <c r="D13" i="7" s="1"/>
  <c r="D13" i="30" s="1"/>
  <c r="D13" i="11" s="1"/>
  <c r="D13" i="13" s="1"/>
  <c r="D13" i="15" s="1"/>
  <c r="D13" i="17" s="1"/>
  <c r="D13" i="32" s="1"/>
  <c r="D13" i="34" s="1"/>
  <c r="D14" i="3"/>
  <c r="D14" i="5" s="1"/>
  <c r="D14" i="7" s="1"/>
  <c r="D14" i="30" s="1"/>
  <c r="D14" i="11" s="1"/>
  <c r="D14" i="13" s="1"/>
  <c r="D14" i="15" s="1"/>
  <c r="D14" i="17" s="1"/>
  <c r="D14" i="32" s="1"/>
  <c r="D14" i="34" s="1"/>
  <c r="H14" i="3"/>
  <c r="H75" i="3" s="1"/>
  <c r="B17" i="3"/>
  <c r="B17" i="5" s="1"/>
  <c r="B17" i="7" s="1"/>
  <c r="B17" i="30" s="1"/>
  <c r="B17" i="11" s="1"/>
  <c r="B17" i="13" s="1"/>
  <c r="B17" i="15" s="1"/>
  <c r="B17" i="17" s="1"/>
  <c r="B17" i="32" s="1"/>
  <c r="B17" i="34" s="1"/>
  <c r="C18" i="3"/>
  <c r="C18" i="5" s="1"/>
  <c r="C18" i="7" s="1"/>
  <c r="C18" i="30" s="1"/>
  <c r="C18" i="11" s="1"/>
  <c r="C18" i="13" s="1"/>
  <c r="C18" i="15" s="1"/>
  <c r="C18" i="17" s="1"/>
  <c r="C18" i="32" s="1"/>
  <c r="C18" i="34" s="1"/>
  <c r="D19" i="3"/>
  <c r="D19" i="5" s="1"/>
  <c r="D19" i="7" s="1"/>
  <c r="D19" i="30" s="1"/>
  <c r="D19" i="11" s="1"/>
  <c r="D19" i="13" s="1"/>
  <c r="D19" i="15" s="1"/>
  <c r="D19" i="17" s="1"/>
  <c r="D19" i="32" s="1"/>
  <c r="D19" i="34" s="1"/>
  <c r="D20" i="3"/>
  <c r="D20" i="5" s="1"/>
  <c r="D20" i="7" s="1"/>
  <c r="D20" i="30" s="1"/>
  <c r="D20" i="11" s="1"/>
  <c r="D20" i="13" s="1"/>
  <c r="D20" i="15" s="1"/>
  <c r="D20" i="17" s="1"/>
  <c r="D20" i="32" s="1"/>
  <c r="D20" i="34" s="1"/>
  <c r="D21" i="3"/>
  <c r="D21" i="5" s="1"/>
  <c r="D21" i="7" s="1"/>
  <c r="D21" i="30" s="1"/>
  <c r="D21" i="11" s="1"/>
  <c r="D21" i="13" s="1"/>
  <c r="D21" i="15" s="1"/>
  <c r="D21" i="17" s="1"/>
  <c r="D21" i="32" s="1"/>
  <c r="D21" i="34" s="1"/>
  <c r="H21" i="3"/>
  <c r="C22" i="3"/>
  <c r="C22" i="5" s="1"/>
  <c r="C22" i="7" s="1"/>
  <c r="C22" i="30" s="1"/>
  <c r="C22" i="11" s="1"/>
  <c r="C22" i="13" s="1"/>
  <c r="C22" i="15" s="1"/>
  <c r="C22" i="17" s="1"/>
  <c r="C22" i="32" s="1"/>
  <c r="C22" i="34" s="1"/>
  <c r="D23" i="3"/>
  <c r="D23" i="5"/>
  <c r="D23" i="7" s="1"/>
  <c r="D23" i="30" s="1"/>
  <c r="D23" i="11" s="1"/>
  <c r="D23" i="13" s="1"/>
  <c r="D23" i="15" s="1"/>
  <c r="D23" i="17" s="1"/>
  <c r="D23" i="32" s="1"/>
  <c r="D23" i="34" s="1"/>
  <c r="D24" i="3"/>
  <c r="D24" i="5" s="1"/>
  <c r="D24" i="7" s="1"/>
  <c r="D24" i="30" s="1"/>
  <c r="D24" i="11" s="1"/>
  <c r="D24" i="13" s="1"/>
  <c r="D24" i="15" s="1"/>
  <c r="D24" i="17" s="1"/>
  <c r="D24" i="32" s="1"/>
  <c r="D24" i="34" s="1"/>
  <c r="D25" i="3"/>
  <c r="D25" i="5"/>
  <c r="D25" i="7" s="1"/>
  <c r="D25" i="30" s="1"/>
  <c r="D25" i="11" s="1"/>
  <c r="D25" i="13" s="1"/>
  <c r="D25" i="15" s="1"/>
  <c r="D25" i="17" s="1"/>
  <c r="D25" i="32" s="1"/>
  <c r="D25" i="34" s="1"/>
  <c r="H25" i="3"/>
  <c r="I14" i="4" s="1"/>
  <c r="C26" i="3"/>
  <c r="C26" i="5" s="1"/>
  <c r="C26" i="7" s="1"/>
  <c r="C26" i="30" s="1"/>
  <c r="C26" i="11" s="1"/>
  <c r="C26" i="13" s="1"/>
  <c r="C26" i="15" s="1"/>
  <c r="C26" i="17" s="1"/>
  <c r="C26" i="32" s="1"/>
  <c r="C26" i="34" s="1"/>
  <c r="D27" i="3"/>
  <c r="D27" i="5" s="1"/>
  <c r="D27" i="7" s="1"/>
  <c r="D27" i="30" s="1"/>
  <c r="D27" i="11" s="1"/>
  <c r="D27" i="13" s="1"/>
  <c r="D27" i="15" s="1"/>
  <c r="D27" i="17" s="1"/>
  <c r="D27" i="32" s="1"/>
  <c r="D27" i="34" s="1"/>
  <c r="D28" i="3"/>
  <c r="D28" i="5" s="1"/>
  <c r="D28" i="7" s="1"/>
  <c r="D28" i="30" s="1"/>
  <c r="D28" i="11" s="1"/>
  <c r="D28" i="13" s="1"/>
  <c r="D28" i="15" s="1"/>
  <c r="D28" i="17" s="1"/>
  <c r="D28" i="32" s="1"/>
  <c r="D28" i="34" s="1"/>
  <c r="D29" i="3"/>
  <c r="D29" i="5" s="1"/>
  <c r="D29" i="7" s="1"/>
  <c r="D29" i="30" s="1"/>
  <c r="D29" i="11" s="1"/>
  <c r="D29" i="13" s="1"/>
  <c r="D29" i="15" s="1"/>
  <c r="D29" i="17" s="1"/>
  <c r="D29" i="32" s="1"/>
  <c r="D29" i="34" s="1"/>
  <c r="H29" i="3"/>
  <c r="I15" i="4"/>
  <c r="D30" i="3"/>
  <c r="D30" i="5" s="1"/>
  <c r="D30" i="7" s="1"/>
  <c r="D30" i="30" s="1"/>
  <c r="D30" i="11" s="1"/>
  <c r="D30" i="13" s="1"/>
  <c r="D30" i="15" s="1"/>
  <c r="D30" i="17" s="1"/>
  <c r="D30" i="32" s="1"/>
  <c r="D30" i="34" s="1"/>
  <c r="B32" i="3"/>
  <c r="B32" i="5" s="1"/>
  <c r="B32" i="7" s="1"/>
  <c r="B32" i="30" s="1"/>
  <c r="B32" i="11" s="1"/>
  <c r="B32" i="13" s="1"/>
  <c r="B32" i="15" s="1"/>
  <c r="B32" i="17" s="1"/>
  <c r="B32" i="32" s="1"/>
  <c r="B32" i="34" s="1"/>
  <c r="C33" i="3"/>
  <c r="C33" i="5" s="1"/>
  <c r="C33" i="7" s="1"/>
  <c r="C33" i="30" s="1"/>
  <c r="C33" i="11" s="1"/>
  <c r="C33" i="13" s="1"/>
  <c r="C33" i="15" s="1"/>
  <c r="C33" i="17" s="1"/>
  <c r="C33" i="32" s="1"/>
  <c r="C33" i="34" s="1"/>
  <c r="G33" i="3"/>
  <c r="C34" i="3"/>
  <c r="C34" i="5" s="1"/>
  <c r="C34" i="7" s="1"/>
  <c r="C34" i="30" s="1"/>
  <c r="C34" i="11" s="1"/>
  <c r="C34" i="13" s="1"/>
  <c r="C34" i="15" s="1"/>
  <c r="C34" i="17" s="1"/>
  <c r="C34" i="32" s="1"/>
  <c r="C34" i="34" s="1"/>
  <c r="G34" i="3"/>
  <c r="C35" i="3"/>
  <c r="C35" i="5" s="1"/>
  <c r="C35" i="7" s="1"/>
  <c r="C35" i="30" s="1"/>
  <c r="C35" i="11" s="1"/>
  <c r="C35" i="13" s="1"/>
  <c r="C35" i="15" s="1"/>
  <c r="C35" i="17" s="1"/>
  <c r="C35" i="32" s="1"/>
  <c r="C35" i="34" s="1"/>
  <c r="G35" i="3"/>
  <c r="A45" i="3"/>
  <c r="A45" i="5" s="1"/>
  <c r="A45" i="7" s="1"/>
  <c r="A45" i="30" s="1"/>
  <c r="A45" i="11" s="1"/>
  <c r="A45" i="13" s="1"/>
  <c r="A45" i="15" s="1"/>
  <c r="A45" i="17" s="1"/>
  <c r="A45" i="32" s="1"/>
  <c r="A45" i="34" s="1"/>
  <c r="B46" i="3"/>
  <c r="B46" i="5" s="1"/>
  <c r="B69" i="5" s="1"/>
  <c r="B48" i="3"/>
  <c r="B50" i="3"/>
  <c r="B73" i="3" s="1"/>
  <c r="C51" i="3"/>
  <c r="C51" i="5" s="1"/>
  <c r="C52" i="3"/>
  <c r="C52" i="5" s="1"/>
  <c r="C53" i="3"/>
  <c r="C53" i="5" s="1"/>
  <c r="C54" i="3"/>
  <c r="C54" i="5" s="1"/>
  <c r="C79" i="3"/>
  <c r="C55" i="3"/>
  <c r="C55" i="5" s="1"/>
  <c r="C56" i="3"/>
  <c r="H56" i="3"/>
  <c r="B58" i="3"/>
  <c r="B83" i="3" s="1"/>
  <c r="B60" i="3"/>
  <c r="B85" i="3" s="1"/>
  <c r="B62" i="3"/>
  <c r="B62" i="5" s="1"/>
  <c r="B62" i="7" s="1"/>
  <c r="B62" i="30" s="1"/>
  <c r="B62" i="11" s="1"/>
  <c r="B62" i="13" s="1"/>
  <c r="B62" i="15" s="1"/>
  <c r="B62" i="17" s="1"/>
  <c r="C63" i="3"/>
  <c r="C64" i="3"/>
  <c r="K64" i="3"/>
  <c r="M38" i="4" s="1"/>
  <c r="L64" i="3"/>
  <c r="A68" i="3"/>
  <c r="A68" i="5" s="1"/>
  <c r="A68" i="7" s="1"/>
  <c r="A68" i="30" s="1"/>
  <c r="A68" i="11" s="1"/>
  <c r="A68" i="13" s="1"/>
  <c r="A68" i="15" s="1"/>
  <c r="A68" i="17" s="1"/>
  <c r="A68" i="32" s="1"/>
  <c r="A68" i="34" s="1"/>
  <c r="D75" i="3"/>
  <c r="D75" i="5"/>
  <c r="D75" i="7" s="1"/>
  <c r="D75" i="30" s="1"/>
  <c r="I75" i="3"/>
  <c r="D76" i="3"/>
  <c r="D76" i="5" s="1"/>
  <c r="D76" i="7" s="1"/>
  <c r="D76" i="30" s="1"/>
  <c r="B87" i="3"/>
  <c r="B87" i="5" s="1"/>
  <c r="B87" i="7" s="1"/>
  <c r="B87" i="30" s="1"/>
  <c r="B87" i="11" s="1"/>
  <c r="B87" i="13" s="1"/>
  <c r="B87" i="15" s="1"/>
  <c r="B87" i="17" s="1"/>
  <c r="B87" i="32" s="1"/>
  <c r="B87" i="34" s="1"/>
  <c r="B89" i="3"/>
  <c r="A1" i="2"/>
  <c r="A2" i="2"/>
  <c r="A4" i="2"/>
  <c r="C11" i="2"/>
  <c r="C11" i="10" s="1"/>
  <c r="H11" i="2"/>
  <c r="C12" i="2"/>
  <c r="C12" i="26" s="1"/>
  <c r="B22" i="2"/>
  <c r="B22" i="26" s="1"/>
  <c r="B46" i="26" s="1"/>
  <c r="B24" i="2"/>
  <c r="B48" i="2" s="1"/>
  <c r="I24" i="2"/>
  <c r="H27" i="2"/>
  <c r="L27" i="2" s="1"/>
  <c r="H28" i="2"/>
  <c r="L28" i="2" s="1"/>
  <c r="H29" i="2"/>
  <c r="L29" i="2" s="1"/>
  <c r="H30" i="2"/>
  <c r="L30" i="2"/>
  <c r="H31" i="2"/>
  <c r="L31" i="2"/>
  <c r="H32" i="2"/>
  <c r="L32" i="2"/>
  <c r="I34" i="2"/>
  <c r="M34" i="2" s="1"/>
  <c r="I36" i="2"/>
  <c r="M36" i="2" s="1"/>
  <c r="B40" i="2"/>
  <c r="B64" i="2" s="1"/>
  <c r="A46" i="2"/>
  <c r="A48" i="2"/>
  <c r="I48" i="2"/>
  <c r="A50" i="2"/>
  <c r="B50" i="2"/>
  <c r="B50" i="16" s="1"/>
  <c r="C51" i="2"/>
  <c r="C52" i="2"/>
  <c r="H52" i="2"/>
  <c r="L52" i="2" s="1"/>
  <c r="C53" i="2"/>
  <c r="H53" i="2"/>
  <c r="L53" i="2" s="1"/>
  <c r="C54" i="2"/>
  <c r="H54" i="2"/>
  <c r="L54" i="2"/>
  <c r="C55" i="2"/>
  <c r="C55" i="4" s="1"/>
  <c r="H55" i="2"/>
  <c r="L55" i="2" s="1"/>
  <c r="C56" i="2"/>
  <c r="H56" i="2"/>
  <c r="L56" i="2"/>
  <c r="A58" i="2"/>
  <c r="B58" i="2"/>
  <c r="B58" i="12" s="1"/>
  <c r="I58" i="2"/>
  <c r="M58" i="2" s="1"/>
  <c r="B60" i="2"/>
  <c r="B60" i="4" s="1"/>
  <c r="I60" i="2"/>
  <c r="M60" i="2" s="1"/>
  <c r="A62" i="2"/>
  <c r="B62" i="2"/>
  <c r="B62" i="10" s="1"/>
  <c r="K11" i="1"/>
  <c r="J13" i="1"/>
  <c r="J13" i="3" s="1"/>
  <c r="J13" i="5" s="1"/>
  <c r="J14" i="1"/>
  <c r="J14" i="3" s="1"/>
  <c r="J19" i="1"/>
  <c r="J19" i="3" s="1"/>
  <c r="J19" i="5" s="1"/>
  <c r="J19" i="7" s="1"/>
  <c r="J19" i="30" s="1"/>
  <c r="H21" i="1"/>
  <c r="I13" i="2" s="1"/>
  <c r="J23" i="1"/>
  <c r="J24" i="1"/>
  <c r="J24" i="3" s="1"/>
  <c r="H25" i="1"/>
  <c r="I14" i="2" s="1"/>
  <c r="J25" i="1"/>
  <c r="J35" i="1" s="1"/>
  <c r="J25" i="3"/>
  <c r="J25" i="5" s="1"/>
  <c r="J27" i="1"/>
  <c r="J28" i="1"/>
  <c r="J28" i="3"/>
  <c r="J28" i="5" s="1"/>
  <c r="J28" i="7" s="1"/>
  <c r="J28" i="30" s="1"/>
  <c r="H29" i="1"/>
  <c r="I15" i="2" s="1"/>
  <c r="J29" i="1"/>
  <c r="J29" i="3" s="1"/>
  <c r="J29" i="5" s="1"/>
  <c r="J29" i="7" s="1"/>
  <c r="J29" i="30" s="1"/>
  <c r="G33" i="1"/>
  <c r="G34" i="1"/>
  <c r="G35" i="1"/>
  <c r="J51" i="1"/>
  <c r="J52" i="1"/>
  <c r="J52" i="3" s="1"/>
  <c r="J52" i="5" s="1"/>
  <c r="J53" i="1"/>
  <c r="J53" i="3" s="1"/>
  <c r="J53" i="5" s="1"/>
  <c r="J53" i="7" s="1"/>
  <c r="J53" i="30" s="1"/>
  <c r="J54" i="1"/>
  <c r="J54" i="3" s="1"/>
  <c r="J55" i="1"/>
  <c r="J55" i="3" s="1"/>
  <c r="J56" i="1"/>
  <c r="J56" i="3" s="1"/>
  <c r="K58" i="1"/>
  <c r="K58" i="3"/>
  <c r="K58" i="5" s="1"/>
  <c r="M34" i="6" s="1"/>
  <c r="K60" i="1"/>
  <c r="K60" i="3" s="1"/>
  <c r="L62" i="1"/>
  <c r="B69" i="1"/>
  <c r="K69" i="1"/>
  <c r="K69" i="3" s="1"/>
  <c r="B71" i="1"/>
  <c r="B73" i="1"/>
  <c r="C74" i="1"/>
  <c r="I75" i="1"/>
  <c r="G76" i="1"/>
  <c r="H81" i="1" s="1"/>
  <c r="C77" i="1"/>
  <c r="J77" i="1"/>
  <c r="J77" i="3" s="1"/>
  <c r="J77" i="5" s="1"/>
  <c r="L52" i="6" s="1"/>
  <c r="C78" i="1"/>
  <c r="J78" i="1"/>
  <c r="J78" i="3" s="1"/>
  <c r="C79" i="1"/>
  <c r="J79" i="1"/>
  <c r="J79" i="3" s="1"/>
  <c r="J79" i="5" s="1"/>
  <c r="C80" i="1"/>
  <c r="J80" i="1"/>
  <c r="J80" i="3" s="1"/>
  <c r="J80" i="5" s="1"/>
  <c r="L55" i="6" s="1"/>
  <c r="L55" i="4"/>
  <c r="C81" i="1"/>
  <c r="J81" i="1"/>
  <c r="J81" i="3"/>
  <c r="L56" i="4" s="1"/>
  <c r="B83" i="1"/>
  <c r="K83" i="1"/>
  <c r="K83" i="3" s="1"/>
  <c r="B85" i="1"/>
  <c r="K85" i="1"/>
  <c r="K85" i="3" s="1"/>
  <c r="K85" i="5" s="1"/>
  <c r="H87" i="1"/>
  <c r="I62" i="2" s="1"/>
  <c r="M62" i="2" s="1"/>
  <c r="B89" i="1"/>
  <c r="M38" i="8"/>
  <c r="B58" i="5"/>
  <c r="B58" i="7" s="1"/>
  <c r="J77" i="7"/>
  <c r="M22" i="2"/>
  <c r="K46" i="5"/>
  <c r="K46" i="3"/>
  <c r="L62" i="3" s="1"/>
  <c r="M38" i="26"/>
  <c r="H51" i="2"/>
  <c r="L51" i="2" s="1"/>
  <c r="H51" i="6"/>
  <c r="H51" i="7"/>
  <c r="H51" i="10"/>
  <c r="M38" i="10"/>
  <c r="I38" i="10"/>
  <c r="J76" i="1"/>
  <c r="C56" i="5"/>
  <c r="C81" i="3"/>
  <c r="H81" i="3"/>
  <c r="H51" i="4"/>
  <c r="L29" i="6"/>
  <c r="L29" i="8"/>
  <c r="H38" i="5"/>
  <c r="H14" i="5"/>
  <c r="H75" i="5" s="1"/>
  <c r="H11" i="6"/>
  <c r="H12" i="6"/>
  <c r="H81" i="7"/>
  <c r="H12" i="10"/>
  <c r="I12" i="10"/>
  <c r="I16" i="10" s="1"/>
  <c r="G35" i="11"/>
  <c r="H11" i="12"/>
  <c r="G33" i="11"/>
  <c r="H81" i="11"/>
  <c r="H51" i="3" l="1"/>
  <c r="H12" i="4"/>
  <c r="H12" i="8"/>
  <c r="I12" i="8" s="1"/>
  <c r="H64" i="7"/>
  <c r="I38" i="8" s="1"/>
  <c r="B62" i="34"/>
  <c r="B62" i="32"/>
  <c r="H35" i="11"/>
  <c r="H64" i="13"/>
  <c r="I38" i="14" s="1"/>
  <c r="I56" i="4"/>
  <c r="B60" i="5"/>
  <c r="C64" i="7"/>
  <c r="C64" i="34"/>
  <c r="C64" i="32"/>
  <c r="C78" i="3"/>
  <c r="C11" i="8"/>
  <c r="H64" i="5"/>
  <c r="I38" i="6" s="1"/>
  <c r="H64" i="3"/>
  <c r="I38" i="4" s="1"/>
  <c r="M60" i="4"/>
  <c r="H38" i="1"/>
  <c r="H15" i="3"/>
  <c r="H30" i="3" s="1"/>
  <c r="C63" i="34"/>
  <c r="C63" i="32"/>
  <c r="H51" i="5"/>
  <c r="K14" i="1"/>
  <c r="L12" i="2" s="1"/>
  <c r="L54" i="4"/>
  <c r="H15" i="5"/>
  <c r="H38" i="11"/>
  <c r="M22" i="4"/>
  <c r="J54" i="5"/>
  <c r="L30" i="4"/>
  <c r="L31" i="4"/>
  <c r="J55" i="5"/>
  <c r="L31" i="6" s="1"/>
  <c r="H51" i="1"/>
  <c r="B24" i="10"/>
  <c r="B48" i="10" s="1"/>
  <c r="H75" i="17"/>
  <c r="C12" i="12"/>
  <c r="H35" i="1"/>
  <c r="K21" i="1"/>
  <c r="L21" i="1" s="1"/>
  <c r="C12" i="14"/>
  <c r="H12" i="2"/>
  <c r="I12" i="2" s="1"/>
  <c r="I16" i="2" s="1"/>
  <c r="I56" i="8"/>
  <c r="I32" i="12"/>
  <c r="H15" i="1"/>
  <c r="H30" i="1" s="1"/>
  <c r="I56" i="12"/>
  <c r="C12" i="16"/>
  <c r="C11" i="12"/>
  <c r="C12" i="6"/>
  <c r="H35" i="7"/>
  <c r="B50" i="5"/>
  <c r="B73" i="5" s="1"/>
  <c r="C12" i="10"/>
  <c r="I12" i="12"/>
  <c r="I16" i="12" s="1"/>
  <c r="O16" i="12" s="1"/>
  <c r="H15" i="11"/>
  <c r="H30" i="11" s="1"/>
  <c r="C12" i="8"/>
  <c r="H35" i="5"/>
  <c r="I32" i="10"/>
  <c r="H51" i="11"/>
  <c r="B83" i="5"/>
  <c r="B24" i="26"/>
  <c r="B48" i="26" s="1"/>
  <c r="M32" i="2"/>
  <c r="H12" i="12"/>
  <c r="B71" i="11"/>
  <c r="H12" i="26"/>
  <c r="I12" i="26" s="1"/>
  <c r="I16" i="26" s="1"/>
  <c r="H30" i="17"/>
  <c r="H51" i="17"/>
  <c r="H81" i="17"/>
  <c r="H64" i="17"/>
  <c r="I38" i="26"/>
  <c r="H35" i="17"/>
  <c r="K83" i="5"/>
  <c r="K83" i="7" s="1"/>
  <c r="M58" i="4"/>
  <c r="L87" i="3"/>
  <c r="L89" i="3" s="1"/>
  <c r="K69" i="5"/>
  <c r="L87" i="5" s="1"/>
  <c r="L89" i="5" s="1"/>
  <c r="L32" i="4"/>
  <c r="J56" i="5"/>
  <c r="C55" i="7"/>
  <c r="C55" i="30" s="1"/>
  <c r="C80" i="5"/>
  <c r="C52" i="7"/>
  <c r="C77" i="7" s="1"/>
  <c r="C77" i="5"/>
  <c r="C78" i="5"/>
  <c r="C53" i="7"/>
  <c r="K14" i="3"/>
  <c r="K51" i="3" s="1"/>
  <c r="J14" i="5"/>
  <c r="J14" i="7" s="1"/>
  <c r="J14" i="30" s="1"/>
  <c r="J14" i="11" s="1"/>
  <c r="J52" i="7"/>
  <c r="J52" i="30" s="1"/>
  <c r="L28" i="6"/>
  <c r="B58" i="30"/>
  <c r="B83" i="7"/>
  <c r="J35" i="3"/>
  <c r="B69" i="3"/>
  <c r="C11" i="6"/>
  <c r="C11" i="26"/>
  <c r="C77" i="3"/>
  <c r="B22" i="12"/>
  <c r="B46" i="12" s="1"/>
  <c r="K75" i="1"/>
  <c r="C63" i="13"/>
  <c r="C11" i="14"/>
  <c r="L87" i="1"/>
  <c r="L89" i="1" s="1"/>
  <c r="I32" i="26"/>
  <c r="H38" i="30"/>
  <c r="B62" i="26"/>
  <c r="B22" i="4"/>
  <c r="B46" i="4" s="1"/>
  <c r="I13" i="4"/>
  <c r="H35" i="30"/>
  <c r="B58" i="6"/>
  <c r="H30" i="30"/>
  <c r="O16" i="10" s="1"/>
  <c r="C74" i="3"/>
  <c r="H38" i="7"/>
  <c r="H81" i="15"/>
  <c r="L66" i="1"/>
  <c r="C64" i="5"/>
  <c r="C12" i="4"/>
  <c r="B22" i="8"/>
  <c r="B46" i="8" s="1"/>
  <c r="C80" i="3"/>
  <c r="C55" i="6"/>
  <c r="B22" i="16"/>
  <c r="B46" i="16" s="1"/>
  <c r="C64" i="13"/>
  <c r="C56" i="4"/>
  <c r="J81" i="5"/>
  <c r="J81" i="7" s="1"/>
  <c r="J81" i="30" s="1"/>
  <c r="J81" i="11" s="1"/>
  <c r="B22" i="10"/>
  <c r="B46" i="10" s="1"/>
  <c r="L52" i="4"/>
  <c r="I56" i="6"/>
  <c r="H30" i="5"/>
  <c r="C11" i="4"/>
  <c r="B22" i="14"/>
  <c r="B46" i="14" s="1"/>
  <c r="J80" i="7"/>
  <c r="J80" i="30" s="1"/>
  <c r="M46" i="2"/>
  <c r="B50" i="7"/>
  <c r="B50" i="30" s="1"/>
  <c r="H89" i="1"/>
  <c r="H71" i="3" s="1"/>
  <c r="I48" i="4" s="1"/>
  <c r="I64" i="4" s="1"/>
  <c r="B46" i="7"/>
  <c r="B69" i="7" s="1"/>
  <c r="I12" i="4"/>
  <c r="H15" i="7"/>
  <c r="H30" i="7" s="1"/>
  <c r="M34" i="4"/>
  <c r="L28" i="4"/>
  <c r="B71" i="13"/>
  <c r="C63" i="11"/>
  <c r="L66" i="3"/>
  <c r="I56" i="10"/>
  <c r="I56" i="16"/>
  <c r="H64" i="15"/>
  <c r="I38" i="16" s="1"/>
  <c r="I32" i="16"/>
  <c r="B71" i="17"/>
  <c r="M38" i="16"/>
  <c r="H38" i="15"/>
  <c r="H12" i="16"/>
  <c r="I12" i="16" s="1"/>
  <c r="I16" i="16" s="1"/>
  <c r="H35" i="15"/>
  <c r="B71" i="15"/>
  <c r="I32" i="14"/>
  <c r="H38" i="13"/>
  <c r="H35" i="13"/>
  <c r="L85" i="7"/>
  <c r="I38" i="2"/>
  <c r="M38" i="2" s="1"/>
  <c r="H66" i="1"/>
  <c r="H48" i="3" s="1"/>
  <c r="K21" i="5"/>
  <c r="M13" i="6" s="1"/>
  <c r="J28" i="11"/>
  <c r="J55" i="7"/>
  <c r="J78" i="5"/>
  <c r="L53" i="4"/>
  <c r="J25" i="7"/>
  <c r="C81" i="5"/>
  <c r="C56" i="7"/>
  <c r="K81" i="1"/>
  <c r="K89" i="1" s="1"/>
  <c r="N89" i="1" s="1"/>
  <c r="J76" i="3"/>
  <c r="L15" i="1"/>
  <c r="L12" i="4"/>
  <c r="J13" i="7"/>
  <c r="L11" i="2"/>
  <c r="M12" i="2" s="1"/>
  <c r="L76" i="1"/>
  <c r="L78" i="1" s="1"/>
  <c r="K11" i="3"/>
  <c r="K15" i="1"/>
  <c r="I32" i="2"/>
  <c r="L29" i="4"/>
  <c r="K60" i="5"/>
  <c r="M36" i="4"/>
  <c r="J29" i="11"/>
  <c r="H51" i="26"/>
  <c r="I56" i="26" s="1"/>
  <c r="J33" i="1"/>
  <c r="M56" i="2"/>
  <c r="J79" i="7"/>
  <c r="L54" i="6"/>
  <c r="K58" i="7"/>
  <c r="K29" i="1"/>
  <c r="J27" i="3"/>
  <c r="C52" i="30"/>
  <c r="I14" i="8"/>
  <c r="K21" i="7"/>
  <c r="M13" i="8" s="1"/>
  <c r="M46" i="4"/>
  <c r="M13" i="2"/>
  <c r="J24" i="5"/>
  <c r="J24" i="7" s="1"/>
  <c r="J34" i="3"/>
  <c r="J53" i="11"/>
  <c r="L29" i="10"/>
  <c r="K25" i="1"/>
  <c r="J23" i="3"/>
  <c r="M46" i="6"/>
  <c r="K69" i="7"/>
  <c r="K21" i="30"/>
  <c r="M13" i="10" s="1"/>
  <c r="J19" i="11"/>
  <c r="K85" i="7"/>
  <c r="M60" i="6"/>
  <c r="C78" i="7"/>
  <c r="C53" i="30"/>
  <c r="H51" i="14"/>
  <c r="I56" i="14" s="1"/>
  <c r="H81" i="13"/>
  <c r="H12" i="14"/>
  <c r="I12" i="14" s="1"/>
  <c r="I16" i="14" s="1"/>
  <c r="B60" i="26"/>
  <c r="L60" i="30"/>
  <c r="L60" i="11" s="1"/>
  <c r="L60" i="13" s="1"/>
  <c r="L60" i="15" s="1"/>
  <c r="L60" i="17" s="1"/>
  <c r="L60" i="32" s="1"/>
  <c r="L60" i="34" s="1"/>
  <c r="C51" i="12"/>
  <c r="C54" i="4"/>
  <c r="C54" i="14"/>
  <c r="C54" i="16"/>
  <c r="C54" i="10"/>
  <c r="C54" i="26"/>
  <c r="C54" i="6"/>
  <c r="C54" i="12"/>
  <c r="H15" i="15"/>
  <c r="H30" i="15" s="1"/>
  <c r="H75" i="15"/>
  <c r="J34" i="1"/>
  <c r="C53" i="14"/>
  <c r="C53" i="16"/>
  <c r="C53" i="10"/>
  <c r="C53" i="26"/>
  <c r="C53" i="8"/>
  <c r="C53" i="6"/>
  <c r="C53" i="12"/>
  <c r="C53" i="4"/>
  <c r="B62" i="6"/>
  <c r="B62" i="8"/>
  <c r="B62" i="12"/>
  <c r="B62" i="4"/>
  <c r="B62" i="14"/>
  <c r="B62" i="16"/>
  <c r="C74" i="5"/>
  <c r="C51" i="7"/>
  <c r="K21" i="3"/>
  <c r="M13" i="4" s="1"/>
  <c r="L21" i="3"/>
  <c r="C52" i="16"/>
  <c r="C52" i="10"/>
  <c r="C52" i="26"/>
  <c r="C52" i="8"/>
  <c r="C52" i="6"/>
  <c r="C52" i="12"/>
  <c r="C52" i="4"/>
  <c r="I12" i="6"/>
  <c r="I16" i="6" s="1"/>
  <c r="O16" i="6" s="1"/>
  <c r="L62" i="5"/>
  <c r="L66" i="5" s="1"/>
  <c r="K46" i="7"/>
  <c r="M22" i="6"/>
  <c r="C80" i="7"/>
  <c r="C51" i="10"/>
  <c r="C51" i="26"/>
  <c r="C51" i="8"/>
  <c r="C51" i="6"/>
  <c r="C51" i="14"/>
  <c r="C51" i="16"/>
  <c r="C52" i="14"/>
  <c r="K56" i="1"/>
  <c r="K66" i="1" s="1"/>
  <c r="B50" i="26"/>
  <c r="B50" i="8"/>
  <c r="B50" i="6"/>
  <c r="B50" i="12"/>
  <c r="B50" i="4"/>
  <c r="B50" i="10"/>
  <c r="C64" i="17"/>
  <c r="C64" i="15"/>
  <c r="C64" i="30"/>
  <c r="C64" i="11"/>
  <c r="B24" i="4"/>
  <c r="B48" i="4" s="1"/>
  <c r="B71" i="3"/>
  <c r="C51" i="4"/>
  <c r="B50" i="14"/>
  <c r="H15" i="13"/>
  <c r="H30" i="13" s="1"/>
  <c r="B71" i="7"/>
  <c r="B46" i="2"/>
  <c r="B22" i="6"/>
  <c r="B46" i="6" s="1"/>
  <c r="C54" i="8"/>
  <c r="B60" i="6"/>
  <c r="B60" i="8"/>
  <c r="B60" i="12"/>
  <c r="B60" i="14"/>
  <c r="B60" i="16"/>
  <c r="B60" i="10"/>
  <c r="C63" i="17"/>
  <c r="C63" i="15"/>
  <c r="C63" i="30"/>
  <c r="C63" i="7"/>
  <c r="C63" i="5"/>
  <c r="H75" i="13"/>
  <c r="I56" i="2"/>
  <c r="I64" i="2" s="1"/>
  <c r="J77" i="30"/>
  <c r="L52" i="8"/>
  <c r="H35" i="3"/>
  <c r="I32" i="8"/>
  <c r="K51" i="1"/>
  <c r="C79" i="5"/>
  <c r="C54" i="7"/>
  <c r="B58" i="8"/>
  <c r="C56" i="12"/>
  <c r="C55" i="12"/>
  <c r="C56" i="6"/>
  <c r="C56" i="8"/>
  <c r="B58" i="26"/>
  <c r="C55" i="8"/>
  <c r="B58" i="10"/>
  <c r="B58" i="16"/>
  <c r="C56" i="26"/>
  <c r="C56" i="10"/>
  <c r="B58" i="14"/>
  <c r="C55" i="26"/>
  <c r="B58" i="4"/>
  <c r="C56" i="16"/>
  <c r="C55" i="10"/>
  <c r="C11" i="16"/>
  <c r="C56" i="14"/>
  <c r="C55" i="16"/>
  <c r="C55" i="14"/>
  <c r="J51" i="3"/>
  <c r="M64" i="2" l="1"/>
  <c r="O65" i="2" s="1"/>
  <c r="L55" i="8"/>
  <c r="B85" i="5"/>
  <c r="B60" i="7"/>
  <c r="M40" i="2"/>
  <c r="I16" i="8"/>
  <c r="N66" i="1"/>
  <c r="K14" i="5"/>
  <c r="M58" i="6"/>
  <c r="L28" i="8"/>
  <c r="I40" i="2"/>
  <c r="O40" i="2" s="1"/>
  <c r="J34" i="5"/>
  <c r="O64" i="2"/>
  <c r="B73" i="7"/>
  <c r="O16" i="2"/>
  <c r="J54" i="7"/>
  <c r="L30" i="6"/>
  <c r="O16" i="26"/>
  <c r="B83" i="30"/>
  <c r="B58" i="11"/>
  <c r="B73" i="30"/>
  <c r="B50" i="11"/>
  <c r="B46" i="30"/>
  <c r="B69" i="30" s="1"/>
  <c r="L56" i="10"/>
  <c r="J14" i="13"/>
  <c r="J14" i="15" s="1"/>
  <c r="J14" i="17" s="1"/>
  <c r="J14" i="32" s="1"/>
  <c r="J14" i="34" s="1"/>
  <c r="K35" i="1"/>
  <c r="L56" i="6"/>
  <c r="H89" i="3"/>
  <c r="H71" i="5" s="1"/>
  <c r="O16" i="8"/>
  <c r="O63" i="4"/>
  <c r="C80" i="30"/>
  <c r="C55" i="11"/>
  <c r="J56" i="7"/>
  <c r="L32" i="6"/>
  <c r="L56" i="8"/>
  <c r="J35" i="5"/>
  <c r="I16" i="4"/>
  <c r="O16" i="4" s="1"/>
  <c r="O16" i="16"/>
  <c r="L56" i="12"/>
  <c r="J81" i="13"/>
  <c r="L52" i="10"/>
  <c r="J77" i="11"/>
  <c r="L62" i="7"/>
  <c r="L66" i="7" s="1"/>
  <c r="K46" i="30"/>
  <c r="M22" i="8"/>
  <c r="J29" i="13"/>
  <c r="K21" i="11"/>
  <c r="M13" i="12" s="1"/>
  <c r="J19" i="13"/>
  <c r="J55" i="30"/>
  <c r="L31" i="8"/>
  <c r="K69" i="30"/>
  <c r="M46" i="8"/>
  <c r="L87" i="7"/>
  <c r="K60" i="7"/>
  <c r="M36" i="6"/>
  <c r="C52" i="11"/>
  <c r="C77" i="30"/>
  <c r="J28" i="13"/>
  <c r="K83" i="30"/>
  <c r="M58" i="8"/>
  <c r="L53" i="6"/>
  <c r="J78" i="7"/>
  <c r="L21" i="5"/>
  <c r="J23" i="5"/>
  <c r="K25" i="3"/>
  <c r="L27" i="4"/>
  <c r="M32" i="4" s="1"/>
  <c r="M40" i="4" s="1"/>
  <c r="K56" i="3"/>
  <c r="K66" i="3" s="1"/>
  <c r="M66" i="3" s="1"/>
  <c r="J51" i="5"/>
  <c r="C51" i="30"/>
  <c r="C74" i="7"/>
  <c r="O16" i="14"/>
  <c r="L25" i="1"/>
  <c r="M14" i="2"/>
  <c r="K30" i="1"/>
  <c r="K85" i="30"/>
  <c r="M60" i="8"/>
  <c r="K15" i="3"/>
  <c r="L11" i="4"/>
  <c r="M12" i="4" s="1"/>
  <c r="K11" i="5"/>
  <c r="L76" i="3"/>
  <c r="L78" i="3" s="1"/>
  <c r="H66" i="3"/>
  <c r="H48" i="5" s="1"/>
  <c r="I24" i="4"/>
  <c r="I40" i="4" s="1"/>
  <c r="L29" i="12"/>
  <c r="J53" i="13"/>
  <c r="J27" i="5"/>
  <c r="J33" i="3"/>
  <c r="K35" i="3" s="1"/>
  <c r="K29" i="3"/>
  <c r="J76" i="5"/>
  <c r="L51" i="4"/>
  <c r="M56" i="4" s="1"/>
  <c r="K81" i="3"/>
  <c r="K89" i="3" s="1"/>
  <c r="M89" i="3" s="1"/>
  <c r="J25" i="30"/>
  <c r="J35" i="7"/>
  <c r="C78" i="30"/>
  <c r="C53" i="11"/>
  <c r="M15" i="2"/>
  <c r="L29" i="1"/>
  <c r="L85" i="30"/>
  <c r="L89" i="7"/>
  <c r="L55" i="10"/>
  <c r="J80" i="11"/>
  <c r="O41" i="2"/>
  <c r="J24" i="30"/>
  <c r="J34" i="7"/>
  <c r="M34" i="8"/>
  <c r="K58" i="30"/>
  <c r="J13" i="30"/>
  <c r="K14" i="7"/>
  <c r="C79" i="7"/>
  <c r="C54" i="30"/>
  <c r="L28" i="10"/>
  <c r="J52" i="11"/>
  <c r="K51" i="5"/>
  <c r="L12" i="6"/>
  <c r="C56" i="30"/>
  <c r="C81" i="7"/>
  <c r="H89" i="5"/>
  <c r="H71" i="7" s="1"/>
  <c r="I48" i="6"/>
  <c r="I64" i="6" s="1"/>
  <c r="M64" i="4"/>
  <c r="J79" i="30"/>
  <c r="L54" i="8"/>
  <c r="B85" i="7" l="1"/>
  <c r="B60" i="30"/>
  <c r="J54" i="30"/>
  <c r="L30" i="8"/>
  <c r="M16" i="2"/>
  <c r="O17" i="2" s="1"/>
  <c r="B46" i="11"/>
  <c r="B46" i="13" s="1"/>
  <c r="J56" i="30"/>
  <c r="L32" i="8"/>
  <c r="C80" i="11"/>
  <c r="C55" i="13"/>
  <c r="K30" i="3"/>
  <c r="O40" i="4"/>
  <c r="B50" i="13"/>
  <c r="B73" i="11"/>
  <c r="B58" i="13"/>
  <c r="B83" i="11"/>
  <c r="L31" i="10"/>
  <c r="J55" i="11"/>
  <c r="J19" i="15"/>
  <c r="B69" i="11"/>
  <c r="K51" i="7"/>
  <c r="L12" i="8"/>
  <c r="K14" i="30"/>
  <c r="J13" i="11"/>
  <c r="J13" i="13" s="1"/>
  <c r="C74" i="30"/>
  <c r="C51" i="11"/>
  <c r="J76" i="7"/>
  <c r="L51" i="6"/>
  <c r="M56" i="6" s="1"/>
  <c r="M64" i="6" s="1"/>
  <c r="K81" i="5"/>
  <c r="K89" i="5" s="1"/>
  <c r="M89" i="5" s="1"/>
  <c r="J51" i="7"/>
  <c r="K56" i="5"/>
  <c r="K66" i="5" s="1"/>
  <c r="M66" i="5" s="1"/>
  <c r="L27" i="6"/>
  <c r="M32" i="6" s="1"/>
  <c r="M40" i="6" s="1"/>
  <c r="C52" i="13"/>
  <c r="C77" i="11"/>
  <c r="K60" i="30"/>
  <c r="M36" i="8"/>
  <c r="I48" i="8"/>
  <c r="I64" i="8" s="1"/>
  <c r="H89" i="7"/>
  <c r="H71" i="30" s="1"/>
  <c r="J24" i="11"/>
  <c r="J34" i="30"/>
  <c r="L29" i="14"/>
  <c r="J53" i="15"/>
  <c r="M14" i="4"/>
  <c r="L25" i="3"/>
  <c r="J28" i="15"/>
  <c r="K58" i="11"/>
  <c r="M34" i="10"/>
  <c r="J33" i="5"/>
  <c r="K35" i="5" s="1"/>
  <c r="K29" i="5"/>
  <c r="J27" i="7"/>
  <c r="O41" i="4"/>
  <c r="K25" i="5"/>
  <c r="J23" i="7"/>
  <c r="L62" i="30"/>
  <c r="L66" i="30" s="1"/>
  <c r="K46" i="11"/>
  <c r="K46" i="13" s="1"/>
  <c r="L62" i="13" s="1"/>
  <c r="M22" i="10"/>
  <c r="J29" i="15"/>
  <c r="C78" i="11"/>
  <c r="C53" i="13"/>
  <c r="L15" i="3"/>
  <c r="C81" i="30"/>
  <c r="C56" i="11"/>
  <c r="I24" i="6"/>
  <c r="I40" i="6" s="1"/>
  <c r="H66" i="5"/>
  <c r="H48" i="7" s="1"/>
  <c r="L87" i="30"/>
  <c r="L89" i="30" s="1"/>
  <c r="M46" i="10"/>
  <c r="K69" i="11"/>
  <c r="J77" i="13"/>
  <c r="L52" i="12"/>
  <c r="K85" i="11"/>
  <c r="M60" i="10"/>
  <c r="M58" i="10"/>
  <c r="K83" i="11"/>
  <c r="J25" i="11"/>
  <c r="J35" i="30"/>
  <c r="J79" i="11"/>
  <c r="L54" i="10"/>
  <c r="O64" i="4"/>
  <c r="J80" i="13"/>
  <c r="L55" i="12"/>
  <c r="C79" i="30"/>
  <c r="C54" i="11"/>
  <c r="L29" i="3"/>
  <c r="M15" i="4"/>
  <c r="O63" i="6"/>
  <c r="J78" i="30"/>
  <c r="L53" i="8"/>
  <c r="L21" i="7"/>
  <c r="L56" i="14"/>
  <c r="J81" i="15"/>
  <c r="J52" i="13"/>
  <c r="L28" i="12"/>
  <c r="L85" i="11"/>
  <c r="L85" i="13" s="1"/>
  <c r="L85" i="15" s="1"/>
  <c r="L85" i="17" s="1"/>
  <c r="L85" i="32" s="1"/>
  <c r="L76" i="5"/>
  <c r="L78" i="5" s="1"/>
  <c r="L11" i="6"/>
  <c r="M12" i="6" s="1"/>
  <c r="K15" i="5"/>
  <c r="L15" i="5" s="1"/>
  <c r="K11" i="7"/>
  <c r="O64" i="6" l="1"/>
  <c r="B60" i="11"/>
  <c r="B85" i="30"/>
  <c r="L85" i="34"/>
  <c r="O63" i="8"/>
  <c r="L30" i="10"/>
  <c r="J54" i="11"/>
  <c r="B83" i="13"/>
  <c r="B58" i="15"/>
  <c r="B50" i="15"/>
  <c r="B73" i="13"/>
  <c r="M16" i="4"/>
  <c r="O17" i="4" s="1"/>
  <c r="C80" i="13"/>
  <c r="C55" i="15"/>
  <c r="J56" i="11"/>
  <c r="L32" i="10"/>
  <c r="J23" i="30"/>
  <c r="K25" i="7"/>
  <c r="K14" i="11"/>
  <c r="J24" i="13"/>
  <c r="J34" i="11"/>
  <c r="K51" i="30"/>
  <c r="L12" i="10"/>
  <c r="K60" i="11"/>
  <c r="M36" i="10"/>
  <c r="M15" i="6"/>
  <c r="L29" i="5"/>
  <c r="C52" i="15"/>
  <c r="C77" i="13"/>
  <c r="B69" i="13"/>
  <c r="B46" i="15"/>
  <c r="M58" i="12"/>
  <c r="K83" i="13"/>
  <c r="J27" i="30"/>
  <c r="K29" i="7"/>
  <c r="J33" i="7"/>
  <c r="K35" i="7" s="1"/>
  <c r="O41" i="6"/>
  <c r="J81" i="17"/>
  <c r="J81" i="32" s="1"/>
  <c r="J81" i="34" s="1"/>
  <c r="L56" i="16"/>
  <c r="J53" i="17"/>
  <c r="J53" i="32" s="1"/>
  <c r="J53" i="34" s="1"/>
  <c r="L29" i="16"/>
  <c r="L62" i="11"/>
  <c r="L66" i="11" s="1"/>
  <c r="M22" i="12"/>
  <c r="L53" i="10"/>
  <c r="J78" i="11"/>
  <c r="L21" i="11" s="1"/>
  <c r="L21" i="30"/>
  <c r="H66" i="7"/>
  <c r="H48" i="30" s="1"/>
  <c r="I24" i="8"/>
  <c r="I40" i="8" s="1"/>
  <c r="J80" i="15"/>
  <c r="L55" i="14"/>
  <c r="K58" i="13"/>
  <c r="M34" i="12"/>
  <c r="C74" i="11"/>
  <c r="C51" i="13"/>
  <c r="C78" i="13"/>
  <c r="C53" i="15"/>
  <c r="J51" i="30"/>
  <c r="K56" i="7"/>
  <c r="K66" i="7" s="1"/>
  <c r="M66" i="7" s="1"/>
  <c r="L27" i="8"/>
  <c r="M32" i="8" s="1"/>
  <c r="M40" i="8" s="1"/>
  <c r="J28" i="17"/>
  <c r="J28" i="32" s="1"/>
  <c r="J19" i="17"/>
  <c r="J19" i="32" s="1"/>
  <c r="K21" i="15"/>
  <c r="M13" i="16" s="1"/>
  <c r="J29" i="17"/>
  <c r="J29" i="32" s="1"/>
  <c r="L52" i="14"/>
  <c r="J77" i="15"/>
  <c r="M14" i="6"/>
  <c r="L25" i="5"/>
  <c r="O40" i="6"/>
  <c r="J55" i="13"/>
  <c r="L31" i="12"/>
  <c r="K85" i="13"/>
  <c r="M60" i="12"/>
  <c r="K30" i="5"/>
  <c r="C79" i="11"/>
  <c r="C54" i="13"/>
  <c r="L54" i="12"/>
  <c r="J79" i="13"/>
  <c r="L28" i="14"/>
  <c r="J52" i="15"/>
  <c r="J76" i="30"/>
  <c r="L51" i="8"/>
  <c r="M56" i="8" s="1"/>
  <c r="M64" i="8" s="1"/>
  <c r="K81" i="7"/>
  <c r="K89" i="7" s="1"/>
  <c r="M89" i="7" s="1"/>
  <c r="H89" i="30"/>
  <c r="H71" i="11" s="1"/>
  <c r="I48" i="10"/>
  <c r="I64" i="10" s="1"/>
  <c r="K69" i="13"/>
  <c r="M46" i="12"/>
  <c r="L87" i="11"/>
  <c r="L89" i="11" s="1"/>
  <c r="K11" i="30"/>
  <c r="K15" i="7"/>
  <c r="L11" i="8"/>
  <c r="M12" i="8" s="1"/>
  <c r="L76" i="7"/>
  <c r="L78" i="7" s="1"/>
  <c r="C81" i="11"/>
  <c r="C56" i="13"/>
  <c r="J25" i="13"/>
  <c r="J35" i="11"/>
  <c r="J29" i="34" l="1"/>
  <c r="J19" i="34"/>
  <c r="K21" i="32"/>
  <c r="K30" i="7"/>
  <c r="J28" i="34"/>
  <c r="B60" i="13"/>
  <c r="B85" i="11"/>
  <c r="O41" i="8"/>
  <c r="J54" i="13"/>
  <c r="L30" i="12"/>
  <c r="L15" i="7"/>
  <c r="J56" i="13"/>
  <c r="L32" i="12"/>
  <c r="C55" i="17"/>
  <c r="C55" i="32" s="1"/>
  <c r="C80" i="15"/>
  <c r="O63" i="10"/>
  <c r="B50" i="17"/>
  <c r="B50" i="32" s="1"/>
  <c r="B73" i="15"/>
  <c r="M16" i="6"/>
  <c r="O17" i="6" s="1"/>
  <c r="O64" i="8"/>
  <c r="B58" i="17"/>
  <c r="B58" i="32" s="1"/>
  <c r="B83" i="15"/>
  <c r="O40" i="8"/>
  <c r="K56" i="30"/>
  <c r="K66" i="30" s="1"/>
  <c r="M66" i="30" s="1"/>
  <c r="L27" i="10"/>
  <c r="M32" i="10" s="1"/>
  <c r="M40" i="10" s="1"/>
  <c r="J51" i="11"/>
  <c r="C78" i="15"/>
  <c r="C53" i="17"/>
  <c r="C53" i="32" s="1"/>
  <c r="J55" i="15"/>
  <c r="L31" i="14"/>
  <c r="C51" i="15"/>
  <c r="C74" i="13"/>
  <c r="B46" i="17"/>
  <c r="B46" i="32" s="1"/>
  <c r="B69" i="15"/>
  <c r="J24" i="15"/>
  <c r="J34" i="13"/>
  <c r="C52" i="17"/>
  <c r="C52" i="32" s="1"/>
  <c r="C77" i="15"/>
  <c r="K46" i="15"/>
  <c r="L66" i="13"/>
  <c r="M22" i="14"/>
  <c r="L52" i="16"/>
  <c r="J77" i="17"/>
  <c r="J77" i="32" s="1"/>
  <c r="J77" i="34" s="1"/>
  <c r="L12" i="12"/>
  <c r="K51" i="11"/>
  <c r="C56" i="15"/>
  <c r="C81" i="13"/>
  <c r="J13" i="15"/>
  <c r="K14" i="13"/>
  <c r="C79" i="13"/>
  <c r="C54" i="15"/>
  <c r="L53" i="12"/>
  <c r="J78" i="13"/>
  <c r="J25" i="15"/>
  <c r="J35" i="13"/>
  <c r="K81" i="30"/>
  <c r="K89" i="30" s="1"/>
  <c r="M89" i="30" s="1"/>
  <c r="L51" i="10"/>
  <c r="M56" i="10" s="1"/>
  <c r="M64" i="10" s="1"/>
  <c r="J76" i="11"/>
  <c r="J52" i="17"/>
  <c r="J52" i="32" s="1"/>
  <c r="J52" i="34" s="1"/>
  <c r="L28" i="16"/>
  <c r="M34" i="14"/>
  <c r="K58" i="15"/>
  <c r="M15" i="8"/>
  <c r="L29" i="7"/>
  <c r="M14" i="8"/>
  <c r="L25" i="7"/>
  <c r="I48" i="12"/>
  <c r="I64" i="12" s="1"/>
  <c r="H89" i="11"/>
  <c r="H71" i="13" s="1"/>
  <c r="L76" i="30"/>
  <c r="K15" i="30"/>
  <c r="K11" i="11"/>
  <c r="K11" i="13" s="1"/>
  <c r="L76" i="13" s="1"/>
  <c r="L11" i="10"/>
  <c r="M12" i="10" s="1"/>
  <c r="L55" i="16"/>
  <c r="J80" i="17"/>
  <c r="J80" i="32" s="1"/>
  <c r="J80" i="34" s="1"/>
  <c r="K29" i="30"/>
  <c r="J33" i="30"/>
  <c r="K35" i="30" s="1"/>
  <c r="J27" i="11"/>
  <c r="K25" i="30"/>
  <c r="J23" i="11"/>
  <c r="M46" i="14"/>
  <c r="K69" i="15"/>
  <c r="L87" i="13"/>
  <c r="L89" i="13" s="1"/>
  <c r="M36" i="12"/>
  <c r="K60" i="13"/>
  <c r="K83" i="15"/>
  <c r="M58" i="14"/>
  <c r="K85" i="15"/>
  <c r="M60" i="14"/>
  <c r="L54" i="14"/>
  <c r="J79" i="15"/>
  <c r="K21" i="17"/>
  <c r="H66" i="30"/>
  <c r="H48" i="11" s="1"/>
  <c r="I24" i="10"/>
  <c r="I40" i="10" s="1"/>
  <c r="O40" i="10" s="1"/>
  <c r="C55" i="34" l="1"/>
  <c r="C80" i="34" s="1"/>
  <c r="C80" i="32"/>
  <c r="C53" i="34"/>
  <c r="C78" i="34" s="1"/>
  <c r="C78" i="32"/>
  <c r="B60" i="15"/>
  <c r="B85" i="13"/>
  <c r="B58" i="34"/>
  <c r="B83" i="34" s="1"/>
  <c r="B83" i="32"/>
  <c r="K21" i="34"/>
  <c r="B46" i="34"/>
  <c r="B69" i="34" s="1"/>
  <c r="B69" i="32"/>
  <c r="O64" i="10"/>
  <c r="C77" i="32"/>
  <c r="C52" i="34"/>
  <c r="C77" i="34" s="1"/>
  <c r="B73" i="32"/>
  <c r="B50" i="34"/>
  <c r="B73" i="34" s="1"/>
  <c r="O41" i="10"/>
  <c r="K30" i="30"/>
  <c r="J54" i="15"/>
  <c r="L30" i="14"/>
  <c r="B83" i="17"/>
  <c r="M16" i="8"/>
  <c r="O17" i="8" s="1"/>
  <c r="B73" i="17"/>
  <c r="C80" i="17"/>
  <c r="J56" i="15"/>
  <c r="L32" i="14"/>
  <c r="J78" i="15"/>
  <c r="L21" i="15" s="1"/>
  <c r="L53" i="14"/>
  <c r="C77" i="17"/>
  <c r="L15" i="30"/>
  <c r="K46" i="17"/>
  <c r="K46" i="32" s="1"/>
  <c r="K46" i="34" s="1"/>
  <c r="M22" i="16"/>
  <c r="L62" i="15"/>
  <c r="L66" i="15" s="1"/>
  <c r="L27" i="12"/>
  <c r="M32" i="12" s="1"/>
  <c r="M40" i="12" s="1"/>
  <c r="J51" i="13"/>
  <c r="L68" i="13" s="1"/>
  <c r="K56" i="11"/>
  <c r="K66" i="11" s="1"/>
  <c r="M66" i="11" s="1"/>
  <c r="L87" i="15"/>
  <c r="K69" i="17"/>
  <c r="K69" i="32" s="1"/>
  <c r="M46" i="16"/>
  <c r="L89" i="15"/>
  <c r="C79" i="15"/>
  <c r="C54" i="17"/>
  <c r="C54" i="32" s="1"/>
  <c r="L76" i="11"/>
  <c r="L78" i="11" s="1"/>
  <c r="L11" i="12"/>
  <c r="M12" i="12" s="1"/>
  <c r="K15" i="11"/>
  <c r="J25" i="17"/>
  <c r="J25" i="32" s="1"/>
  <c r="J35" i="15"/>
  <c r="H89" i="13"/>
  <c r="H71" i="15" s="1"/>
  <c r="I48" i="14"/>
  <c r="I64" i="14" s="1"/>
  <c r="M36" i="14"/>
  <c r="K60" i="15"/>
  <c r="K81" i="11"/>
  <c r="K89" i="11" s="1"/>
  <c r="M89" i="11" s="1"/>
  <c r="J76" i="13"/>
  <c r="L78" i="13" s="1"/>
  <c r="L51" i="12"/>
  <c r="M56" i="12" s="1"/>
  <c r="M64" i="12" s="1"/>
  <c r="C78" i="17"/>
  <c r="M60" i="16"/>
  <c r="K85" i="17"/>
  <c r="K85" i="32" s="1"/>
  <c r="K85" i="34" s="1"/>
  <c r="M58" i="16"/>
  <c r="K83" i="17"/>
  <c r="K83" i="32" s="1"/>
  <c r="K83" i="34" s="1"/>
  <c r="J24" i="17"/>
  <c r="J24" i="32" s="1"/>
  <c r="J34" i="15"/>
  <c r="M14" i="10"/>
  <c r="L25" i="30"/>
  <c r="J27" i="13"/>
  <c r="K29" i="11"/>
  <c r="L29" i="11" s="1"/>
  <c r="J33" i="11"/>
  <c r="K35" i="11" s="1"/>
  <c r="C56" i="17"/>
  <c r="C56" i="32" s="1"/>
  <c r="C81" i="15"/>
  <c r="L56" i="26"/>
  <c r="L29" i="26"/>
  <c r="M15" i="10"/>
  <c r="L29" i="30"/>
  <c r="M34" i="16"/>
  <c r="K58" i="17"/>
  <c r="K58" i="32" s="1"/>
  <c r="K58" i="34" s="1"/>
  <c r="B69" i="17"/>
  <c r="J55" i="17"/>
  <c r="J55" i="32" s="1"/>
  <c r="J55" i="34" s="1"/>
  <c r="L31" i="16"/>
  <c r="J23" i="13"/>
  <c r="K25" i="11"/>
  <c r="M13" i="26"/>
  <c r="O63" i="12"/>
  <c r="K14" i="15"/>
  <c r="J13" i="17"/>
  <c r="J13" i="32" s="1"/>
  <c r="H66" i="11"/>
  <c r="H48" i="13" s="1"/>
  <c r="I24" i="12"/>
  <c r="I40" i="12" s="1"/>
  <c r="C74" i="15"/>
  <c r="C51" i="17"/>
  <c r="C51" i="32" s="1"/>
  <c r="L54" i="16"/>
  <c r="J79" i="17"/>
  <c r="J79" i="32" s="1"/>
  <c r="J79" i="34" s="1"/>
  <c r="K51" i="13"/>
  <c r="L12" i="14"/>
  <c r="J13" i="34" l="1"/>
  <c r="K14" i="32"/>
  <c r="K51" i="32" s="1"/>
  <c r="C56" i="34"/>
  <c r="C81" i="34" s="1"/>
  <c r="C81" i="32"/>
  <c r="C54" i="34"/>
  <c r="C79" i="34" s="1"/>
  <c r="C79" i="32"/>
  <c r="C51" i="34"/>
  <c r="C74" i="34" s="1"/>
  <c r="C74" i="32"/>
  <c r="J25" i="34"/>
  <c r="J35" i="32"/>
  <c r="K69" i="34"/>
  <c r="L87" i="32"/>
  <c r="L89" i="32" s="1"/>
  <c r="B60" i="17"/>
  <c r="B85" i="15"/>
  <c r="J24" i="34"/>
  <c r="J34" i="32"/>
  <c r="L62" i="32"/>
  <c r="L66" i="32" s="1"/>
  <c r="L30" i="16"/>
  <c r="J54" i="17"/>
  <c r="J54" i="32" s="1"/>
  <c r="J54" i="34" s="1"/>
  <c r="M16" i="10"/>
  <c r="O17" i="10" s="1"/>
  <c r="L32" i="16"/>
  <c r="J56" i="17"/>
  <c r="J56" i="32" s="1"/>
  <c r="O41" i="12"/>
  <c r="O63" i="14"/>
  <c r="K30" i="11"/>
  <c r="J51" i="15"/>
  <c r="L69" i="15" s="1"/>
  <c r="L27" i="14"/>
  <c r="M32" i="14" s="1"/>
  <c r="M40" i="14" s="1"/>
  <c r="K56" i="13"/>
  <c r="K66" i="13" s="1"/>
  <c r="M66" i="13" s="1"/>
  <c r="L62" i="17"/>
  <c r="L66" i="17" s="1"/>
  <c r="O40" i="12"/>
  <c r="H66" i="13"/>
  <c r="H48" i="15" s="1"/>
  <c r="I24" i="14"/>
  <c r="I40" i="14" s="1"/>
  <c r="K14" i="17"/>
  <c r="C74" i="17"/>
  <c r="L12" i="16"/>
  <c r="K51" i="15"/>
  <c r="J23" i="15"/>
  <c r="K25" i="13"/>
  <c r="K29" i="13"/>
  <c r="L29" i="13" s="1"/>
  <c r="J27" i="15"/>
  <c r="J33" i="13"/>
  <c r="K35" i="13" s="1"/>
  <c r="C79" i="17"/>
  <c r="L52" i="26"/>
  <c r="O64" i="12"/>
  <c r="L53" i="16"/>
  <c r="J78" i="17"/>
  <c r="J78" i="32" s="1"/>
  <c r="M14" i="12"/>
  <c r="M16" i="12" s="1"/>
  <c r="O17" i="12" s="1"/>
  <c r="L25" i="11"/>
  <c r="J76" i="15"/>
  <c r="L51" i="14"/>
  <c r="M56" i="14" s="1"/>
  <c r="M64" i="14" s="1"/>
  <c r="K81" i="13"/>
  <c r="K89" i="13" s="1"/>
  <c r="M89" i="13" s="1"/>
  <c r="J34" i="17"/>
  <c r="L11" i="14"/>
  <c r="M12" i="14" s="1"/>
  <c r="K11" i="15"/>
  <c r="K15" i="13"/>
  <c r="L15" i="13" s="1"/>
  <c r="L28" i="26"/>
  <c r="L87" i="17"/>
  <c r="L89" i="17" s="1"/>
  <c r="I48" i="16"/>
  <c r="I64" i="16" s="1"/>
  <c r="H89" i="15"/>
  <c r="H71" i="17" s="1"/>
  <c r="J35" i="17"/>
  <c r="L30" i="26"/>
  <c r="L55" i="26"/>
  <c r="M15" i="12"/>
  <c r="C81" i="17"/>
  <c r="M36" i="16"/>
  <c r="K60" i="17"/>
  <c r="K60" i="32" s="1"/>
  <c r="K60" i="34" s="1"/>
  <c r="L15" i="11"/>
  <c r="J78" i="34" l="1"/>
  <c r="L21" i="32"/>
  <c r="J35" i="34"/>
  <c r="L87" i="34"/>
  <c r="L89" i="34" s="1"/>
  <c r="B60" i="32"/>
  <c r="B85" i="17"/>
  <c r="K14" i="34"/>
  <c r="K51" i="34" s="1"/>
  <c r="J56" i="34"/>
  <c r="J34" i="34"/>
  <c r="L62" i="34"/>
  <c r="L66" i="34" s="1"/>
  <c r="O40" i="14"/>
  <c r="M46" i="26"/>
  <c r="L21" i="17"/>
  <c r="H66" i="15"/>
  <c r="H48" i="17" s="1"/>
  <c r="I24" i="16"/>
  <c r="I40" i="16" s="1"/>
  <c r="L11" i="16"/>
  <c r="M12" i="16" s="1"/>
  <c r="K11" i="17"/>
  <c r="K11" i="32" s="1"/>
  <c r="L76" i="15"/>
  <c r="K15" i="15"/>
  <c r="L15" i="15" s="1"/>
  <c r="J27" i="17"/>
  <c r="J33" i="15"/>
  <c r="K35" i="15" s="1"/>
  <c r="K29" i="15"/>
  <c r="L29" i="15" s="1"/>
  <c r="M15" i="14"/>
  <c r="M58" i="26"/>
  <c r="M14" i="14"/>
  <c r="L25" i="13"/>
  <c r="K25" i="15"/>
  <c r="J23" i="17"/>
  <c r="J23" i="32" s="1"/>
  <c r="M60" i="26"/>
  <c r="M34" i="26"/>
  <c r="L54" i="26"/>
  <c r="M22" i="26"/>
  <c r="H89" i="17"/>
  <c r="H71" i="32" s="1"/>
  <c r="H89" i="32" s="1"/>
  <c r="H71" i="34" s="1"/>
  <c r="H89" i="34" s="1"/>
  <c r="O64" i="14"/>
  <c r="K51" i="17"/>
  <c r="O63" i="16"/>
  <c r="K81" i="15"/>
  <c r="K89" i="15" s="1"/>
  <c r="M89" i="15" s="1"/>
  <c r="L51" i="16"/>
  <c r="M56" i="16" s="1"/>
  <c r="M64" i="16" s="1"/>
  <c r="J76" i="17"/>
  <c r="O41" i="14"/>
  <c r="L31" i="26"/>
  <c r="L27" i="16"/>
  <c r="M32" i="16" s="1"/>
  <c r="M40" i="16" s="1"/>
  <c r="K56" i="15"/>
  <c r="K66" i="15" s="1"/>
  <c r="M66" i="15" s="1"/>
  <c r="J51" i="17"/>
  <c r="J51" i="32" s="1"/>
  <c r="J76" i="32" l="1"/>
  <c r="K29" i="17"/>
  <c r="L29" i="17" s="1"/>
  <c r="J27" i="32"/>
  <c r="B60" i="34"/>
  <c r="B85" i="34" s="1"/>
  <c r="B85" i="32"/>
  <c r="K56" i="32"/>
  <c r="K66" i="32" s="1"/>
  <c r="M66" i="32" s="1"/>
  <c r="J51" i="34"/>
  <c r="K11" i="34"/>
  <c r="K15" i="32"/>
  <c r="L76" i="32"/>
  <c r="J23" i="34"/>
  <c r="K25" i="32"/>
  <c r="L25" i="32" s="1"/>
  <c r="L21" i="34"/>
  <c r="L32" i="26"/>
  <c r="O41" i="16"/>
  <c r="O64" i="16"/>
  <c r="O40" i="16"/>
  <c r="J33" i="17"/>
  <c r="K35" i="17" s="1"/>
  <c r="K30" i="15"/>
  <c r="L76" i="17"/>
  <c r="L78" i="17" s="1"/>
  <c r="K15" i="17"/>
  <c r="M14" i="16"/>
  <c r="L25" i="15"/>
  <c r="H66" i="17"/>
  <c r="H48" i="32" s="1"/>
  <c r="H66" i="32" s="1"/>
  <c r="H48" i="34" s="1"/>
  <c r="H66" i="34" s="1"/>
  <c r="L12" i="26"/>
  <c r="L53" i="26"/>
  <c r="M15" i="16"/>
  <c r="I48" i="26"/>
  <c r="I64" i="26" s="1"/>
  <c r="K81" i="17"/>
  <c r="K89" i="17" s="1"/>
  <c r="M89" i="17" s="1"/>
  <c r="M36" i="26"/>
  <c r="K25" i="17"/>
  <c r="K56" i="17"/>
  <c r="K66" i="17" s="1"/>
  <c r="M66" i="17" s="1"/>
  <c r="L76" i="34" l="1"/>
  <c r="K15" i="34"/>
  <c r="L15" i="32"/>
  <c r="K56" i="34"/>
  <c r="K66" i="34" s="1"/>
  <c r="M66" i="34" s="1"/>
  <c r="J27" i="34"/>
  <c r="K29" i="32"/>
  <c r="L29" i="32" s="1"/>
  <c r="J33" i="32"/>
  <c r="K35" i="32" s="1"/>
  <c r="J76" i="34"/>
  <c r="K81" i="32"/>
  <c r="K89" i="32" s="1"/>
  <c r="M89" i="32" s="1"/>
  <c r="K25" i="34"/>
  <c r="L25" i="34" s="1"/>
  <c r="M16" i="16"/>
  <c r="O17" i="16" s="1"/>
  <c r="L11" i="26"/>
  <c r="M12" i="26" s="1"/>
  <c r="O63" i="26"/>
  <c r="I24" i="26"/>
  <c r="I40" i="26" s="1"/>
  <c r="L51" i="26"/>
  <c r="M56" i="26" s="1"/>
  <c r="M64" i="26" s="1"/>
  <c r="L25" i="17"/>
  <c r="L27" i="26"/>
  <c r="M32" i="26" s="1"/>
  <c r="M40" i="26" s="1"/>
  <c r="K30" i="17"/>
  <c r="K29" i="34" l="1"/>
  <c r="L29" i="34" s="1"/>
  <c r="J33" i="34"/>
  <c r="K35" i="34" s="1"/>
  <c r="L15" i="34"/>
  <c r="K81" i="34"/>
  <c r="K89" i="34" s="1"/>
  <c r="M89" i="34" s="1"/>
  <c r="K30" i="34"/>
  <c r="K30" i="32"/>
  <c r="O40" i="26"/>
  <c r="O41" i="26"/>
  <c r="M14" i="26"/>
  <c r="M15" i="26"/>
  <c r="O64" i="26"/>
  <c r="M16" i="26" l="1"/>
  <c r="O17" i="26" s="1"/>
  <c r="H66" i="22" l="1"/>
  <c r="K30" i="13"/>
  <c r="L21" i="13"/>
  <c r="K21" i="13"/>
  <c r="M13" i="14"/>
  <c r="M16" i="14"/>
  <c r="O17" i="14"/>
</calcChain>
</file>

<file path=xl/sharedStrings.xml><?xml version="1.0" encoding="utf-8"?>
<sst xmlns="http://schemas.openxmlformats.org/spreadsheetml/2006/main" count="596" uniqueCount="125">
  <si>
    <t>COMMONWEALTH OF KENTUCKY</t>
  </si>
  <si>
    <t>LAW ENFORCEMENT FOUNDATION AND FIREFIGHTERS FOUNDATION FUNDS</t>
  </si>
  <si>
    <t>SURTAX RECEIPTS WORKSHEET</t>
  </si>
  <si>
    <t>CURRENT MONTH</t>
  </si>
  <si>
    <t>YEAR-TO-DATE</t>
  </si>
  <si>
    <t>VARIANCE</t>
  </si>
  <si>
    <t>GROSS RECEIPTS (REVENUE DISTRIBUTION)</t>
  </si>
  <si>
    <t>VOLUNTEER FIRE DEPARTMENT AID</t>
  </si>
  <si>
    <t>R284</t>
  </si>
  <si>
    <t>R285</t>
  </si>
  <si>
    <t>R286</t>
  </si>
  <si>
    <t>OTHER DISTRIBUTIONS (review JVs other than Revenue Distribution)</t>
  </si>
  <si>
    <t>REVENUE REFUNDS</t>
  </si>
  <si>
    <t>UNHONORED CHECKS</t>
  </si>
  <si>
    <t>RECEIPT ADJUSTMENTS</t>
  </si>
  <si>
    <t>NET RECEIPTS TO BE DISTRIBUTED</t>
  </si>
  <si>
    <t>TOTAL</t>
  </si>
  <si>
    <t>REVENUE REFUNDS:  PRIOR YEAR</t>
  </si>
  <si>
    <t>REVENUE REFUNDS:  CURRENT YEAR</t>
  </si>
  <si>
    <t>REFUND OF PRIOR YEAR DISBURSEMENTS (R881)</t>
  </si>
  <si>
    <t>INVESTMENT INCOME (R771)</t>
  </si>
  <si>
    <t>OTHER REVENUE</t>
  </si>
  <si>
    <t>SURTAX RECEIPTS SCHEDULE</t>
  </si>
  <si>
    <t>DEPARTMENT OF REVENUE SURTAX RECEIPTS COLLECTED</t>
  </si>
  <si>
    <t>GROSS RECEIPTS:</t>
  </si>
  <si>
    <t>LAW ENFORCEMENT FOUNDATION FUND</t>
  </si>
  <si>
    <t>REVENUE DISTRIBUTION</t>
  </si>
  <si>
    <t>REFUND OF PRIOR YEAR DISBURSEMENTS</t>
  </si>
  <si>
    <t>INVESTMENT INCOME</t>
  </si>
  <si>
    <t>EXPENDITURES</t>
  </si>
  <si>
    <t>FIREFIGHTERS FOUNDATION FUND</t>
  </si>
  <si>
    <t>REVENUE DISTRIBUTION (N114)</t>
  </si>
  <si>
    <t xml:space="preserve"> </t>
  </si>
  <si>
    <t>COMBINED SECTION BELOW FOR 690 &amp; 470</t>
  </si>
  <si>
    <t>FIREFIGHTERS FUND</t>
  </si>
  <si>
    <t>VOLUNTEER FIRE DEPT AID</t>
  </si>
  <si>
    <t>REVENUE DISTRIBUTION INCOME (REVENUE DETAIL WORKSHEET):</t>
  </si>
  <si>
    <t>LAW ENFORCEMENT AND FIREFIGHTERS FUND</t>
  </si>
  <si>
    <t>REVENUE DISTRIBUTION INCOME:</t>
  </si>
  <si>
    <t>R285 Law Enforcement Fund</t>
  </si>
  <si>
    <t>R286 Firefighters Fund</t>
  </si>
  <si>
    <t>R284 Volunteer Fire Dept Aid Fund</t>
  </si>
  <si>
    <t>*</t>
  </si>
  <si>
    <t>Total R284+R286</t>
  </si>
  <si>
    <t>Variance</t>
  </si>
  <si>
    <t>FIREFIGHTERS FOUNDATION FUND (1341-470-UNIT-PK00)</t>
  </si>
  <si>
    <t>DEPARTMENT OF REVENUE SURTAX RECEIPTS COLLECTED (14E6-130-D130-R000-R284, R285, R286)</t>
  </si>
  <si>
    <t>LAW ENFORCEMENT FOUNDATION FUND (13DB-525-0000)</t>
  </si>
  <si>
    <t>EXPENDITURES (LAW ENFORCEMENT SUMMARY)</t>
  </si>
  <si>
    <t>EXPENDITURES (FIREFIGHTERS SUMMARY)</t>
  </si>
  <si>
    <t>Cash Roll Forward</t>
  </si>
  <si>
    <t>CASH EXPENDITURES</t>
  </si>
  <si>
    <t>ACCRUED EXPENDITURES</t>
  </si>
  <si>
    <t>Cash Balance</t>
  </si>
  <si>
    <t>Beginning Cash</t>
  </si>
  <si>
    <t>Accrued Expenditures</t>
  </si>
  <si>
    <t xml:space="preserve">                                                                                                                                                                                                                                                                                                                                                                                                                                                                                                          </t>
  </si>
  <si>
    <t xml:space="preserve">    </t>
  </si>
  <si>
    <t xml:space="preserve">  </t>
  </si>
  <si>
    <t>14E6-130-D130-T113</t>
  </si>
  <si>
    <t xml:space="preserve">DISTRIBUTE OTHER DISTRIBUTIONS: </t>
  </si>
  <si>
    <t xml:space="preserve">JV2T - 758 - </t>
  </si>
  <si>
    <t>CASH BALANCE AUGUST 31, 2018</t>
  </si>
  <si>
    <t>78%:</t>
  </si>
  <si>
    <t>22%</t>
  </si>
  <si>
    <t>13DB-525-0000-EED0-N114 (78%)</t>
  </si>
  <si>
    <t>1341-470-UNIT-PK00-N114 (22%)</t>
  </si>
  <si>
    <t xml:space="preserve">                                                </t>
  </si>
  <si>
    <t>22%:</t>
  </si>
  <si>
    <t>Notes:</t>
  </si>
  <si>
    <t>Cash Variance</t>
  </si>
  <si>
    <t>NOTES:</t>
  </si>
  <si>
    <t>Receipt Adjustment Corrections:</t>
  </si>
  <si>
    <t>Cash Balance August 31, 2022</t>
  </si>
  <si>
    <t>Fund 1341</t>
  </si>
  <si>
    <t>Fund 13DB</t>
  </si>
  <si>
    <t>CASH BALANCE JUNE 30, 2023</t>
  </si>
  <si>
    <t>BALANCE FORWARDED FROM FISCAL YEAR 2023</t>
  </si>
  <si>
    <t>JV2T - 758 - 2400000297</t>
  </si>
  <si>
    <t>CASH BALANCE at the end of Accounting Period 1</t>
  </si>
  <si>
    <t>FOR THE PERIOD JULY 1, 2023 - JULY 31, 2023 (Updated 8/18/2023)</t>
  </si>
  <si>
    <t>please see note below</t>
  </si>
  <si>
    <t>July's collected receipts for the KLEFPF Fund, 13DB, totaled $9,074,611.41. The cash transfers for these receipts posted in AP2.</t>
  </si>
  <si>
    <t>July's collected receipts for the Fire Comm General Operations Fund, 1341, totaled $4,808,872.96. The cash transfers for these receipts posted in AP2.</t>
  </si>
  <si>
    <t>The  JV2T documents that the Department of Revenue created to disseminate the collected receipts for July were not approved until Accounting Period 2. As of the issuance of this report, all receipts have been accounted for and transferred into their intended Funds. The July transfers will be included in AP2's report.</t>
  </si>
  <si>
    <t xml:space="preserve">  *Distributed in AP2</t>
  </si>
  <si>
    <t>CASH BALANCE AUGUST 31, 2023</t>
  </si>
  <si>
    <t/>
  </si>
  <si>
    <t>FOR THE PERIOD AUGUST 1, 2023- AUGUST 31, 2023</t>
  </si>
  <si>
    <t>JV2T - 758 - 2400000440</t>
  </si>
  <si>
    <t>FOR THE PERIOD SEPTEMBER 1, 2023 - SEPTEMBER 30, 2023</t>
  </si>
  <si>
    <t>CASH BALANCE SEPTEMBER 30, 2023</t>
  </si>
  <si>
    <t>FOR THE PERIOD October 1, 2023- October 31, 2023</t>
  </si>
  <si>
    <t>CASH BALANCE OCTOBER 31, 2023</t>
  </si>
  <si>
    <t xml:space="preserve">JV2T - 758 - 2400000764 </t>
  </si>
  <si>
    <t>JV2T 130 X18562CA_2330450006 was created on 11/1. It posted $303,748.85 into Fund 1341, and $1,076,927.69 into Fund 13DB. This will be reflected in the November report.</t>
  </si>
  <si>
    <t>CASH BALANCE NOVEMBER 30, 2023</t>
  </si>
  <si>
    <t>FOR THE PERIOD NOVEMBER 1, 2022- NOVEMBER 30, 2023</t>
  </si>
  <si>
    <t>JV2T - 758 - 2400000968</t>
  </si>
  <si>
    <t>JV2T - 130 - X08491CA_2330300006C has been created to correct reconciling item in the amount of $710.09. This will be refelcted in the AP 6 report.</t>
  </si>
  <si>
    <t>FOR THE PERIOD DECEMBER 1, 2023 - DECEMBER 31, 2023</t>
  </si>
  <si>
    <t>CASH BALANCE DECEMBER 31, 2023</t>
  </si>
  <si>
    <t>JV2T - 758 - 2400001099</t>
  </si>
  <si>
    <t>FOR THE PERIOD JANUARY 1, 2024 - JANUARY 31, 2024</t>
  </si>
  <si>
    <t>CASH BALANCE JANUARY 31, 2024</t>
  </si>
  <si>
    <t>The  JV2T documents that the Department of Revenue created to disseminate the collected receipts for July were not approved until Accounting Period 8. As of the issuance of this report, all receipts have been accounted for and transferred into their intended Funds. The July transfers will be included in AP2's report.</t>
  </si>
  <si>
    <t>January's collected receipts for the KLEFPF Fund, 13DB, totaled $3,144,721.25. The cash transfers for these receipts posted in AP8.</t>
  </si>
  <si>
    <t>January's collected receipts for the Fire Comm General Operations Fund, 1341, totaled $891,299.83. The cash transfers for these receipts posted in AP8.</t>
  </si>
  <si>
    <t>FOR THE PERIOD FEBRUARY 1, 2024 - FEBRUARY 28, 2024</t>
  </si>
  <si>
    <t>CASH BALANCE FEBRUARY 28, 2024</t>
  </si>
  <si>
    <t>FOR THE PERIOD MARCH 1, 2024 - MARCH 31, 2024</t>
  </si>
  <si>
    <t>CASH BALANCE MARCH 31, 2024</t>
  </si>
  <si>
    <t xml:space="preserve">JV2T 758 </t>
  </si>
  <si>
    <t>FOR THE PERIOD April 1, 2024- April 30, 2024</t>
  </si>
  <si>
    <t>CASH BALANCE APRIL 30, 2024</t>
  </si>
  <si>
    <t>FOR THE PERIOD MAY 1, 2024 - MAY 31, 2024</t>
  </si>
  <si>
    <t>CASH BALANCE MAY 31, 2024</t>
  </si>
  <si>
    <t>FOR THE PERIOD JUNE 1, 2024 - JUNE 30, 2024</t>
  </si>
  <si>
    <t>CASH BALANCE JUNE 30, 2024</t>
  </si>
  <si>
    <t>in AP12 JV2T X08313CA_2415820006C account line 3&amp;4 posted incorrectly to 13DB fund in the amount of $50.72</t>
  </si>
  <si>
    <t>In AP 12, accounting lines 3&amp;4  of JV2T 130 X08313CA_2415820006C posted incorrectly against fund 13DB in the amount of $50.72.  </t>
  </si>
  <si>
    <t xml:space="preserve">JV2T X08313CA_2415820006R was created to reverse these entries and repost against the correct Fund 1341. This correction will be shown </t>
  </si>
  <si>
    <t xml:space="preserve">in Accounting Period 13’s report. </t>
  </si>
  <si>
    <t>FOR THE PERIOD JULY 1, 2023 - FINAL Period 13, 2024</t>
  </si>
  <si>
    <t>CASH BALANCE FINAL Period 13,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</si>
</sst>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_);\(#,##0.000\)"/>
  </numFmts>
  <fonts count="59">
    <font>
      <sz val="10"/>
      <name val="Arial"/>
    </font>
    <font>
      <b/>
      <sz val="10"/>
      <name val="Arial"/>
      <family val="2"/>
    </font>
    <font>
      <i/>
      <sz val="10"/>
      <name val="Arial"/>
      <family val="2"/>
    </font>
    <font>
      <b/>
      <i/>
      <sz val="10"/>
      <name val="Arial"/>
      <family val="2"/>
    </font>
    <font>
      <sz val="10"/>
      <name val="Arial"/>
      <family val="2"/>
    </font>
    <font>
      <sz val="10"/>
      <name val="Arial"/>
      <family val="2"/>
    </font>
    <font>
      <b/>
      <i/>
      <sz val="12"/>
      <name val="Arial"/>
      <family val="2"/>
    </font>
    <font>
      <i/>
      <sz val="10"/>
      <color indexed="12"/>
      <name val="Arial"/>
      <family val="2"/>
    </font>
    <font>
      <i/>
      <sz val="10"/>
      <name val="Arial"/>
      <family val="2"/>
    </font>
    <font>
      <b/>
      <i/>
      <sz val="10"/>
      <name val="Arial"/>
      <family val="2"/>
    </font>
    <font>
      <b/>
      <sz val="10"/>
      <name val="Arial"/>
      <family val="2"/>
    </font>
    <font>
      <sz val="12"/>
      <name val="Arial"/>
      <family val="2"/>
    </font>
    <font>
      <sz val="8"/>
      <name val="Arial"/>
      <family val="2"/>
    </font>
    <font>
      <sz val="10"/>
      <color indexed="10"/>
      <name val="Arial"/>
      <family val="2"/>
    </font>
    <font>
      <i/>
      <sz val="10"/>
      <color indexed="8"/>
      <name val="Arial"/>
      <family val="2"/>
    </font>
    <font>
      <sz val="10"/>
      <color indexed="8"/>
      <name val="Arial"/>
      <family val="2"/>
    </font>
    <font>
      <sz val="18"/>
      <color indexed="16"/>
      <name val="Arial"/>
      <family val="2"/>
    </font>
    <font>
      <b/>
      <sz val="11"/>
      <name val="Arial"/>
      <family val="2"/>
    </font>
    <font>
      <b/>
      <sz val="12"/>
      <name val="Arial"/>
      <family val="2"/>
    </font>
    <font>
      <sz val="9"/>
      <name val="Arial"/>
      <family val="2"/>
    </font>
    <font>
      <b/>
      <sz val="8"/>
      <name val="Arial"/>
      <family val="2"/>
    </font>
    <font>
      <b/>
      <sz val="20"/>
      <name val="Arial"/>
      <family val="2"/>
    </font>
    <font>
      <b/>
      <sz val="12"/>
      <color indexed="10"/>
      <name val="Arial"/>
      <family val="2"/>
    </font>
    <font>
      <sz val="10"/>
      <name val="Arial"/>
      <family val="2"/>
    </font>
    <font>
      <sz val="18"/>
      <color indexed="10"/>
      <name val="Arial"/>
      <family val="2"/>
    </font>
    <font>
      <sz val="10"/>
      <color indexed="8"/>
      <name val="MS Sans Serif"/>
      <family val="2"/>
    </font>
    <font>
      <sz val="10"/>
      <color indexed="8"/>
      <name val="MS Sans Serif"/>
      <family val="2"/>
    </font>
    <font>
      <sz val="10"/>
      <name val="Arial"/>
      <family val="2"/>
    </font>
    <font>
      <sz val="10"/>
      <color indexed="12"/>
      <name val="Arial"/>
      <family val="2"/>
    </font>
    <font>
      <b/>
      <sz val="9"/>
      <name val="Arial"/>
      <family val="2"/>
    </font>
    <font>
      <sz val="10"/>
      <name val="Arial"/>
      <family val="2"/>
    </font>
    <font>
      <sz val="10"/>
      <name val="Calibri"/>
      <family val="2"/>
    </font>
    <font>
      <sz val="11"/>
      <name val="Calibri"/>
      <family val="2"/>
    </font>
    <font>
      <b/>
      <u/>
      <sz val="10"/>
      <name val="Arial"/>
      <family val="2"/>
    </font>
    <font>
      <b/>
      <sz val="11"/>
      <name val="Calibri"/>
      <family val="2"/>
    </font>
    <font>
      <sz val="11"/>
      <color rgb="FF9C6500"/>
      <name val="Calibri"/>
      <family val="2"/>
      <scheme val="minor"/>
    </font>
    <font>
      <sz val="10"/>
      <color rgb="FF000000"/>
      <name val="Arial"/>
      <family val="2"/>
    </font>
    <font>
      <b/>
      <sz val="16"/>
      <color rgb="FFFF0000"/>
      <name val="Arial"/>
      <family val="2"/>
    </font>
    <font>
      <sz val="11"/>
      <name val="Calibri"/>
      <family val="2"/>
      <scheme val="minor"/>
    </font>
    <font>
      <sz val="9"/>
      <color theme="1" tint="0.14999847407452621"/>
      <name val="Arial"/>
      <family val="2"/>
    </font>
    <font>
      <b/>
      <sz val="8"/>
      <color rgb="FF000000"/>
      <name val="Arial Unicode MS"/>
      <family val="2"/>
    </font>
    <font>
      <b/>
      <sz val="9"/>
      <color rgb="FF000000"/>
      <name val="Arial Unicode MS"/>
      <family val="2"/>
    </font>
    <font>
      <sz val="28"/>
      <color rgb="FFFF0000"/>
      <name val="Arial"/>
      <family val="2"/>
    </font>
    <font>
      <b/>
      <sz val="10"/>
      <color rgb="FFFF0000"/>
      <name val="Arial"/>
      <family val="2"/>
    </font>
    <font>
      <sz val="10"/>
      <color rgb="FFFF0000"/>
      <name val="Arial"/>
      <family val="2"/>
    </font>
    <font>
      <b/>
      <sz val="10"/>
      <color rgb="FF000000"/>
      <name val="Arial Unicode MS"/>
      <family val="2"/>
    </font>
    <font>
      <sz val="10"/>
      <color rgb="FF333333"/>
      <name val="Arial"/>
      <family val="2"/>
    </font>
    <font>
      <b/>
      <sz val="11"/>
      <color rgb="FF000000"/>
      <name val="Arial Unicode MS"/>
      <family val="2"/>
    </font>
    <font>
      <b/>
      <sz val="9"/>
      <color rgb="FF000000"/>
      <name val="Arial"/>
      <family val="2"/>
    </font>
    <font>
      <sz val="8"/>
      <color rgb="FF0E2851"/>
      <name val="Arial"/>
      <family val="2"/>
    </font>
    <font>
      <sz val="9"/>
      <color theme="1"/>
      <name val="Arial"/>
      <family val="2"/>
    </font>
    <font>
      <b/>
      <sz val="9"/>
      <color rgb="FF333333"/>
      <name val="Arial"/>
      <family val="2"/>
    </font>
    <font>
      <b/>
      <sz val="11"/>
      <color rgb="FF000000"/>
      <name val="Calibri"/>
      <family val="2"/>
    </font>
    <font>
      <sz val="9"/>
      <color rgb="FF0E2851"/>
      <name val="Arial"/>
      <family val="2"/>
    </font>
    <font>
      <b/>
      <sz val="8"/>
      <color rgb="FF000000"/>
      <name val="Arial"/>
      <family val="2"/>
    </font>
    <font>
      <b/>
      <sz val="11"/>
      <color rgb="FF000000"/>
      <name val="Arial"/>
      <family val="2"/>
    </font>
    <font>
      <sz val="9"/>
      <color rgb="FF333333"/>
      <name val="Arial"/>
      <family val="2"/>
    </font>
    <font>
      <sz val="9"/>
      <color rgb="FF333333"/>
      <name val="Arial"/>
      <family val="2"/>
    </font>
    <font>
      <sz val="11"/>
      <color rgb="FF000000"/>
      <name val="Roboto"/>
    </font>
  </fonts>
  <fills count="13">
    <fill>
      <patternFill patternType="none"/>
    </fill>
    <fill>
      <patternFill patternType="gray125"/>
    </fill>
    <fill>
      <patternFill patternType="solid">
        <fgColor indexed="43"/>
        <bgColor indexed="64"/>
      </patternFill>
    </fill>
    <fill>
      <patternFill patternType="solid">
        <fgColor rgb="FFFFEB9C"/>
      </patternFill>
    </fill>
    <fill>
      <patternFill patternType="solid">
        <fgColor rgb="FFFFFFCC"/>
      </patternFill>
    </fill>
    <fill>
      <patternFill patternType="solid">
        <fgColor rgb="FFFFFF99"/>
        <bgColor indexed="64"/>
      </patternFill>
    </fill>
    <fill>
      <patternFill patternType="solid">
        <fgColor rgb="FFFFFF99"/>
        <bgColor indexed="9"/>
      </patternFill>
    </fill>
    <fill>
      <patternFill patternType="solid">
        <fgColor rgb="FFFFFFCC"/>
        <bgColor indexed="64"/>
      </patternFill>
    </fill>
    <fill>
      <patternFill patternType="solid">
        <fgColor rgb="FFFFFF00"/>
        <bgColor indexed="64"/>
      </patternFill>
    </fill>
    <fill>
      <patternFill patternType="solid">
        <fgColor rgb="FFFFFF99"/>
        <bgColor rgb="FFFFFFFF"/>
      </patternFill>
    </fill>
    <fill>
      <patternFill patternType="solid">
        <fgColor theme="9" tint="0.79998168889431442"/>
        <bgColor indexed="64"/>
      </patternFill>
    </fill>
    <fill>
      <patternFill patternType="solid">
        <fgColor rgb="FFF8FBFC"/>
        <bgColor rgb="FFFFFFFF"/>
      </patternFill>
    </fill>
    <fill>
      <patternFill patternType="solid">
        <fgColor theme="6" tint="0.79998168889431442"/>
        <bgColor indexed="64"/>
      </patternFill>
    </fill>
  </fills>
  <borders count="27">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rgb="FFEBEBEB"/>
      </top>
      <bottom style="thin">
        <color rgb="FFEBEBEB"/>
      </bottom>
      <diagonal/>
    </border>
    <border>
      <left style="thin">
        <color rgb="FFEBEBEB"/>
      </left>
      <right style="thin">
        <color rgb="FFEBEBEB"/>
      </right>
      <top style="thin">
        <color rgb="FFEBEBEB"/>
      </top>
      <bottom style="thin">
        <color rgb="FFEBEBEB"/>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EBEBEB"/>
      </left>
      <right style="thin">
        <color rgb="FFEBEBEB"/>
      </right>
      <top/>
      <bottom style="thin">
        <color rgb="FFEBEBEB"/>
      </bottom>
      <diagonal/>
    </border>
  </borders>
  <cellStyleXfs count="12">
    <xf numFmtId="0" fontId="0" fillId="0" borderId="0"/>
    <xf numFmtId="43" fontId="4" fillId="0" borderId="0" applyFont="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7" fillId="0" borderId="0" applyFont="0" applyFill="0" applyBorder="0" applyAlignment="0" applyProtection="0"/>
    <xf numFmtId="0" fontId="35" fillId="3" borderId="0" applyNumberFormat="0" applyBorder="0" applyAlignment="0" applyProtection="0"/>
    <xf numFmtId="0" fontId="25" fillId="0" borderId="0"/>
    <xf numFmtId="0" fontId="26" fillId="0" borderId="0"/>
    <xf numFmtId="0" fontId="26" fillId="0" borderId="0"/>
    <xf numFmtId="0" fontId="4" fillId="0" borderId="0"/>
    <xf numFmtId="0" fontId="36" fillId="0" borderId="0"/>
    <xf numFmtId="0" fontId="23" fillId="4" borderId="21" applyNumberFormat="0" applyFont="0" applyAlignment="0" applyProtection="0"/>
  </cellStyleXfs>
  <cellXfs count="406">
    <xf numFmtId="0" fontId="0" fillId="0" borderId="0" xfId="0"/>
    <xf numFmtId="0" fontId="2" fillId="0" borderId="0" xfId="0" applyFont="1"/>
    <xf numFmtId="39" fontId="0" fillId="0" borderId="0" xfId="0" applyNumberFormat="1"/>
    <xf numFmtId="39" fontId="3" fillId="0" borderId="0" xfId="0" applyNumberFormat="1" applyFont="1" applyAlignment="1">
      <alignment horizontal="left"/>
    </xf>
    <xf numFmtId="39" fontId="3" fillId="0" borderId="0" xfId="0" applyNumberFormat="1" applyFont="1"/>
    <xf numFmtId="39" fontId="1" fillId="0" borderId="1" xfId="0" applyNumberFormat="1" applyFont="1" applyBorder="1" applyAlignment="1">
      <alignment horizontal="centerContinuous"/>
    </xf>
    <xf numFmtId="39" fontId="2" fillId="0" borderId="0" xfId="0" applyNumberFormat="1" applyFont="1"/>
    <xf numFmtId="39" fontId="2" fillId="0" borderId="0" xfId="0" quotePrefix="1" applyNumberFormat="1" applyFont="1" applyAlignment="1">
      <alignment horizontal="left"/>
    </xf>
    <xf numFmtId="39" fontId="5" fillId="0" borderId="0" xfId="0" applyNumberFormat="1" applyFont="1"/>
    <xf numFmtId="39" fontId="3" fillId="0" borderId="0" xfId="0" quotePrefix="1" applyNumberFormat="1" applyFont="1" applyAlignment="1">
      <alignment horizontal="left"/>
    </xf>
    <xf numFmtId="39" fontId="2" fillId="0" borderId="0" xfId="0" applyNumberFormat="1" applyFont="1" applyAlignment="1">
      <alignment horizontal="left"/>
    </xf>
    <xf numFmtId="39" fontId="0" fillId="0" borderId="1" xfId="0" applyNumberFormat="1" applyBorder="1"/>
    <xf numFmtId="39" fontId="1" fillId="0" borderId="0" xfId="0" applyNumberFormat="1" applyFont="1" applyBorder="1" applyAlignment="1">
      <alignment horizontal="centerContinuous"/>
    </xf>
    <xf numFmtId="44" fontId="0" fillId="0" borderId="0" xfId="2" applyFont="1" applyBorder="1"/>
    <xf numFmtId="39" fontId="0" fillId="0" borderId="2" xfId="0" applyNumberFormat="1" applyBorder="1"/>
    <xf numFmtId="39" fontId="1" fillId="0" borderId="1" xfId="0" applyNumberFormat="1" applyFont="1" applyBorder="1"/>
    <xf numFmtId="39" fontId="0" fillId="0" borderId="0" xfId="0" applyNumberFormat="1" applyBorder="1"/>
    <xf numFmtId="39" fontId="3" fillId="0" borderId="2" xfId="0" applyNumberFormat="1" applyFont="1" applyBorder="1" applyAlignment="1">
      <alignment horizontal="left"/>
    </xf>
    <xf numFmtId="44" fontId="4" fillId="0" borderId="0" xfId="2"/>
    <xf numFmtId="39" fontId="4" fillId="0" borderId="0" xfId="1" applyNumberFormat="1"/>
    <xf numFmtId="44" fontId="4" fillId="0" borderId="0" xfId="2" applyBorder="1"/>
    <xf numFmtId="44" fontId="4" fillId="0" borderId="2" xfId="2" applyBorder="1"/>
    <xf numFmtId="44" fontId="4" fillId="0" borderId="3" xfId="2" applyBorder="1"/>
    <xf numFmtId="39" fontId="1" fillId="0" borderId="0" xfId="0" applyNumberFormat="1" applyFont="1" applyBorder="1"/>
    <xf numFmtId="39" fontId="1" fillId="0" borderId="4" xfId="0" applyNumberFormat="1" applyFont="1" applyBorder="1" applyAlignment="1">
      <alignment horizontal="centerContinuous"/>
    </xf>
    <xf numFmtId="39" fontId="1" fillId="0" borderId="5" xfId="0" applyNumberFormat="1" applyFont="1" applyBorder="1" applyAlignment="1">
      <alignment horizontal="centerContinuous"/>
    </xf>
    <xf numFmtId="0" fontId="0" fillId="0" borderId="6" xfId="0" applyBorder="1"/>
    <xf numFmtId="39" fontId="2" fillId="0" borderId="7" xfId="0" applyNumberFormat="1" applyFont="1" applyBorder="1"/>
    <xf numFmtId="39" fontId="0" fillId="0" borderId="7" xfId="0" applyNumberFormat="1" applyBorder="1"/>
    <xf numFmtId="39" fontId="0" fillId="0" borderId="8" xfId="0" applyNumberFormat="1" applyBorder="1"/>
    <xf numFmtId="39" fontId="2" fillId="0" borderId="9" xfId="0" applyNumberFormat="1" applyFont="1" applyBorder="1"/>
    <xf numFmtId="39" fontId="2" fillId="0" borderId="0" xfId="0" quotePrefix="1" applyNumberFormat="1" applyFont="1" applyBorder="1" applyAlignment="1">
      <alignment horizontal="left"/>
    </xf>
    <xf numFmtId="39" fontId="2" fillId="0" borderId="0" xfId="0" applyNumberFormat="1" applyFont="1" applyBorder="1"/>
    <xf numFmtId="0" fontId="0" fillId="0" borderId="0" xfId="0" applyBorder="1"/>
    <xf numFmtId="44" fontId="0" fillId="0" borderId="10" xfId="2" applyFont="1" applyBorder="1"/>
    <xf numFmtId="39" fontId="0" fillId="0" borderId="10" xfId="0" applyNumberFormat="1" applyBorder="1"/>
    <xf numFmtId="39" fontId="5" fillId="0" borderId="0" xfId="0" applyNumberFormat="1" applyFont="1" applyBorder="1"/>
    <xf numFmtId="39" fontId="5" fillId="0" borderId="10" xfId="0" applyNumberFormat="1" applyFont="1" applyBorder="1"/>
    <xf numFmtId="39" fontId="2" fillId="0" borderId="11" xfId="0" applyNumberFormat="1" applyFont="1" applyBorder="1"/>
    <xf numFmtId="39" fontId="2" fillId="0" borderId="2" xfId="0" applyNumberFormat="1" applyFont="1" applyBorder="1"/>
    <xf numFmtId="39" fontId="0" fillId="0" borderId="12" xfId="0" applyNumberFormat="1" applyBorder="1"/>
    <xf numFmtId="39" fontId="0" fillId="0" borderId="6" xfId="0" applyNumberFormat="1" applyBorder="1"/>
    <xf numFmtId="39" fontId="0" fillId="0" borderId="9" xfId="0" applyNumberFormat="1" applyBorder="1"/>
    <xf numFmtId="39" fontId="0" fillId="0" borderId="11" xfId="0" applyNumberFormat="1" applyBorder="1"/>
    <xf numFmtId="39" fontId="3" fillId="0" borderId="0" xfId="0" quotePrefix="1" applyNumberFormat="1" applyFont="1" applyBorder="1" applyAlignment="1">
      <alignment horizontal="left"/>
    </xf>
    <xf numFmtId="39" fontId="3" fillId="0" borderId="6" xfId="0" quotePrefix="1" applyNumberFormat="1" applyFont="1" applyBorder="1" applyAlignment="1">
      <alignment horizontal="left"/>
    </xf>
    <xf numFmtId="39" fontId="3" fillId="0" borderId="7" xfId="0" applyNumberFormat="1" applyFont="1" applyBorder="1"/>
    <xf numFmtId="39" fontId="1" fillId="0" borderId="8" xfId="0" applyNumberFormat="1" applyFont="1" applyBorder="1" applyAlignment="1">
      <alignment horizontal="centerContinuous"/>
    </xf>
    <xf numFmtId="39" fontId="1" fillId="0" borderId="7" xfId="0" applyNumberFormat="1" applyFont="1" applyBorder="1" applyAlignment="1">
      <alignment horizontal="centerContinuous"/>
    </xf>
    <xf numFmtId="39" fontId="3" fillId="0" borderId="9" xfId="0" quotePrefix="1" applyNumberFormat="1" applyFont="1" applyBorder="1" applyAlignment="1">
      <alignment horizontal="left"/>
    </xf>
    <xf numFmtId="0" fontId="0" fillId="0" borderId="9" xfId="0" applyBorder="1"/>
    <xf numFmtId="39" fontId="3" fillId="0" borderId="11" xfId="0" quotePrefix="1" applyNumberFormat="1" applyFont="1" applyBorder="1" applyAlignment="1">
      <alignment horizontal="left"/>
    </xf>
    <xf numFmtId="39" fontId="3" fillId="0" borderId="2" xfId="0" applyNumberFormat="1" applyFont="1" applyBorder="1"/>
    <xf numFmtId="39" fontId="2" fillId="0" borderId="9" xfId="0" quotePrefix="1" applyNumberFormat="1" applyFont="1" applyBorder="1" applyAlignment="1">
      <alignment horizontal="left"/>
    </xf>
    <xf numFmtId="39" fontId="2" fillId="0" borderId="9" xfId="0" applyNumberFormat="1" applyFont="1" applyBorder="1" applyAlignment="1">
      <alignment horizontal="left"/>
    </xf>
    <xf numFmtId="39" fontId="2" fillId="0" borderId="0" xfId="0" applyNumberFormat="1" applyFont="1" applyBorder="1" applyAlignment="1">
      <alignment horizontal="left"/>
    </xf>
    <xf numFmtId="44" fontId="4" fillId="0" borderId="10" xfId="2" applyBorder="1"/>
    <xf numFmtId="0" fontId="0" fillId="0" borderId="10" xfId="0" applyBorder="1"/>
    <xf numFmtId="39" fontId="6" fillId="0" borderId="0" xfId="0" applyNumberFormat="1" applyFont="1" applyAlignment="1">
      <alignment horizontal="left"/>
    </xf>
    <xf numFmtId="39" fontId="6" fillId="0" borderId="0" xfId="0" quotePrefix="1" applyNumberFormat="1" applyFont="1" applyAlignment="1">
      <alignment horizontal="left"/>
    </xf>
    <xf numFmtId="39" fontId="1" fillId="0" borderId="13" xfId="0" applyNumberFormat="1" applyFont="1" applyBorder="1" applyAlignment="1">
      <alignment horizontal="centerContinuous"/>
    </xf>
    <xf numFmtId="39" fontId="2" fillId="0" borderId="10" xfId="0" applyNumberFormat="1" applyFont="1" applyBorder="1"/>
    <xf numFmtId="0" fontId="2" fillId="0" borderId="0" xfId="0" applyFont="1" applyBorder="1"/>
    <xf numFmtId="39" fontId="0" fillId="0" borderId="0" xfId="0" quotePrefix="1" applyNumberFormat="1" applyAlignment="1">
      <alignment horizontal="left"/>
    </xf>
    <xf numFmtId="39" fontId="1" fillId="0" borderId="1" xfId="0" applyNumberFormat="1" applyFont="1" applyBorder="1" applyAlignment="1">
      <alignment horizontal="center"/>
    </xf>
    <xf numFmtId="39" fontId="4" fillId="0" borderId="0" xfId="2" applyNumberFormat="1" applyBorder="1"/>
    <xf numFmtId="39" fontId="7" fillId="0" borderId="0" xfId="0" applyNumberFormat="1" applyFont="1"/>
    <xf numFmtId="39" fontId="7" fillId="0" borderId="0" xfId="0" quotePrefix="1" applyNumberFormat="1" applyFont="1" applyAlignment="1">
      <alignment horizontal="left"/>
    </xf>
    <xf numFmtId="39" fontId="8" fillId="0" borderId="0" xfId="0" applyNumberFormat="1" applyFont="1" applyBorder="1"/>
    <xf numFmtId="39" fontId="0" fillId="0" borderId="0" xfId="0" applyNumberFormat="1" applyFill="1"/>
    <xf numFmtId="39" fontId="9" fillId="0" borderId="0" xfId="0" quotePrefix="1" applyNumberFormat="1" applyFont="1" applyAlignment="1">
      <alignment horizontal="left"/>
    </xf>
    <xf numFmtId="39" fontId="9" fillId="0" borderId="0" xfId="0" applyNumberFormat="1" applyFont="1" applyAlignment="1">
      <alignment horizontal="left"/>
    </xf>
    <xf numFmtId="39" fontId="4" fillId="0" borderId="0" xfId="2" applyNumberFormat="1" applyFont="1"/>
    <xf numFmtId="39" fontId="0" fillId="0" borderId="1" xfId="0" applyNumberFormat="1" applyFill="1" applyBorder="1"/>
    <xf numFmtId="39" fontId="4" fillId="0" borderId="0" xfId="2" applyNumberFormat="1"/>
    <xf numFmtId="39" fontId="0" fillId="0" borderId="0" xfId="0" quotePrefix="1" applyNumberFormat="1"/>
    <xf numFmtId="39" fontId="0" fillId="0" borderId="1" xfId="0" applyNumberFormat="1" applyBorder="1" applyAlignment="1">
      <alignment horizontal="centerContinuous"/>
    </xf>
    <xf numFmtId="39" fontId="5" fillId="0" borderId="1" xfId="0" applyNumberFormat="1" applyFont="1" applyBorder="1"/>
    <xf numFmtId="39" fontId="4" fillId="0" borderId="3" xfId="2" applyNumberFormat="1" applyBorder="1"/>
    <xf numFmtId="39" fontId="4" fillId="0" borderId="2" xfId="2" applyNumberFormat="1" applyBorder="1"/>
    <xf numFmtId="39" fontId="11" fillId="0" borderId="0" xfId="0" applyNumberFormat="1" applyFont="1"/>
    <xf numFmtId="39" fontId="9" fillId="0" borderId="2" xfId="0" applyNumberFormat="1" applyFont="1" applyBorder="1" applyAlignment="1">
      <alignment horizontal="left"/>
    </xf>
    <xf numFmtId="39" fontId="8" fillId="0" borderId="0" xfId="0" applyNumberFormat="1" applyFont="1"/>
    <xf numFmtId="39" fontId="9" fillId="0" borderId="0" xfId="0" applyNumberFormat="1" applyFont="1"/>
    <xf numFmtId="39" fontId="10" fillId="0" borderId="1" xfId="0" applyNumberFormat="1" applyFont="1" applyBorder="1" applyAlignment="1">
      <alignment horizontal="centerContinuous"/>
    </xf>
    <xf numFmtId="39" fontId="10" fillId="0" borderId="0" xfId="0" applyNumberFormat="1" applyFont="1" applyBorder="1" applyAlignment="1">
      <alignment horizontal="centerContinuous"/>
    </xf>
    <xf numFmtId="39" fontId="5" fillId="0" borderId="1" xfId="0" applyNumberFormat="1" applyFont="1" applyBorder="1" applyAlignment="1">
      <alignment horizontal="centerContinuous"/>
    </xf>
    <xf numFmtId="39" fontId="10" fillId="0" borderId="1" xfId="0" applyNumberFormat="1" applyFont="1" applyBorder="1" applyAlignment="1">
      <alignment horizontal="center"/>
    </xf>
    <xf numFmtId="39" fontId="8" fillId="0" borderId="0" xfId="0" quotePrefix="1" applyNumberFormat="1" applyFont="1" applyAlignment="1">
      <alignment horizontal="left"/>
    </xf>
    <xf numFmtId="39" fontId="8" fillId="0" borderId="0" xfId="0" applyNumberFormat="1" applyFont="1" applyAlignment="1">
      <alignment horizontal="left"/>
    </xf>
    <xf numFmtId="39" fontId="5" fillId="0" borderId="0" xfId="2" applyNumberFormat="1" applyFont="1"/>
    <xf numFmtId="39" fontId="5" fillId="0" borderId="0" xfId="2" applyNumberFormat="1" applyFont="1" applyBorder="1"/>
    <xf numFmtId="39" fontId="5" fillId="0" borderId="0" xfId="1" applyNumberFormat="1" applyFont="1"/>
    <xf numFmtId="39" fontId="5" fillId="0" borderId="3" xfId="2" applyNumberFormat="1" applyFont="1" applyBorder="1"/>
    <xf numFmtId="39" fontId="5" fillId="0" borderId="0" xfId="0" applyNumberFormat="1" applyFont="1" applyAlignment="1">
      <alignment horizontal="right"/>
    </xf>
    <xf numFmtId="39" fontId="5" fillId="0" borderId="2" xfId="2" applyNumberFormat="1" applyFont="1" applyBorder="1"/>
    <xf numFmtId="39" fontId="6" fillId="0" borderId="0" xfId="0" applyNumberFormat="1" applyFont="1" applyFill="1" applyAlignment="1">
      <alignment horizontal="left"/>
    </xf>
    <xf numFmtId="39" fontId="3" fillId="0" borderId="0" xfId="0" applyNumberFormat="1" applyFont="1" applyFill="1" applyAlignment="1">
      <alignment horizontal="left"/>
    </xf>
    <xf numFmtId="39" fontId="6" fillId="0" borderId="0" xfId="0" quotePrefix="1" applyNumberFormat="1" applyFont="1" applyFill="1" applyAlignment="1">
      <alignment horizontal="left"/>
    </xf>
    <xf numFmtId="39" fontId="3" fillId="0" borderId="2" xfId="0" applyNumberFormat="1" applyFont="1" applyFill="1" applyBorder="1" applyAlignment="1">
      <alignment horizontal="left"/>
    </xf>
    <xf numFmtId="39" fontId="2" fillId="0" borderId="0" xfId="0" applyNumberFormat="1" applyFont="1" applyFill="1"/>
    <xf numFmtId="39" fontId="3" fillId="0" borderId="0" xfId="0" applyNumberFormat="1" applyFont="1" applyFill="1"/>
    <xf numFmtId="39" fontId="1" fillId="0" borderId="1" xfId="0" applyNumberFormat="1" applyFont="1" applyFill="1" applyBorder="1" applyAlignment="1">
      <alignment horizontal="centerContinuous"/>
    </xf>
    <xf numFmtId="39" fontId="1" fillId="0" borderId="0" xfId="0" applyNumberFormat="1" applyFont="1" applyFill="1" applyBorder="1" applyAlignment="1">
      <alignment horizontal="centerContinuous"/>
    </xf>
    <xf numFmtId="39" fontId="0" fillId="0" borderId="1" xfId="0" applyNumberFormat="1" applyFill="1" applyBorder="1" applyAlignment="1">
      <alignment horizontal="centerContinuous"/>
    </xf>
    <xf numFmtId="39" fontId="1" fillId="0" borderId="1" xfId="0" applyNumberFormat="1" applyFont="1" applyFill="1" applyBorder="1" applyAlignment="1">
      <alignment horizontal="center"/>
    </xf>
    <xf numFmtId="39" fontId="3" fillId="0" borderId="0" xfId="0" quotePrefix="1" applyNumberFormat="1" applyFont="1" applyFill="1" applyAlignment="1">
      <alignment horizontal="left"/>
    </xf>
    <xf numFmtId="39" fontId="2" fillId="0" borderId="0" xfId="0" quotePrefix="1" applyNumberFormat="1" applyFont="1" applyFill="1" applyAlignment="1">
      <alignment horizontal="left"/>
    </xf>
    <xf numFmtId="39" fontId="4" fillId="0" borderId="0" xfId="2" applyNumberFormat="1" applyFill="1"/>
    <xf numFmtId="39" fontId="4" fillId="0" borderId="0" xfId="2" applyNumberFormat="1" applyFill="1" applyBorder="1"/>
    <xf numFmtId="39" fontId="0" fillId="0" borderId="0" xfId="0" applyNumberFormat="1" applyFill="1" applyBorder="1"/>
    <xf numFmtId="39" fontId="4" fillId="0" borderId="0" xfId="1" applyNumberFormat="1" applyFill="1"/>
    <xf numFmtId="39" fontId="5" fillId="0" borderId="0" xfId="0" applyNumberFormat="1" applyFont="1" applyFill="1"/>
    <xf numFmtId="39" fontId="4" fillId="0" borderId="3" xfId="2" applyNumberFormat="1" applyFill="1" applyBorder="1"/>
    <xf numFmtId="39" fontId="0" fillId="0" borderId="0" xfId="0" quotePrefix="1" applyNumberFormat="1" applyFill="1" applyAlignment="1">
      <alignment horizontal="left"/>
    </xf>
    <xf numFmtId="39" fontId="2" fillId="0" borderId="0" xfId="0" applyNumberFormat="1" applyFont="1" applyFill="1" applyAlignment="1">
      <alignment horizontal="left"/>
    </xf>
    <xf numFmtId="39" fontId="9" fillId="0" borderId="0" xfId="0" quotePrefix="1" applyNumberFormat="1" applyFont="1" applyFill="1" applyAlignment="1">
      <alignment horizontal="left"/>
    </xf>
    <xf numFmtId="39" fontId="7" fillId="0" borderId="0" xfId="0" quotePrefix="1" applyNumberFormat="1" applyFont="1" applyFill="1" applyAlignment="1">
      <alignment horizontal="left"/>
    </xf>
    <xf numFmtId="39" fontId="7" fillId="0" borderId="0" xfId="0" applyNumberFormat="1" applyFont="1" applyFill="1"/>
    <xf numFmtId="39" fontId="4" fillId="0" borderId="2" xfId="2" applyNumberFormat="1" applyFill="1" applyBorder="1"/>
    <xf numFmtId="39" fontId="10" fillId="0" borderId="0" xfId="0" applyNumberFormat="1" applyFont="1" applyFill="1"/>
    <xf numFmtId="39" fontId="9" fillId="0" borderId="0" xfId="0" applyNumberFormat="1" applyFont="1" applyFill="1"/>
    <xf numFmtId="39" fontId="0" fillId="0" borderId="0" xfId="0" applyNumberFormat="1" applyFill="1" applyAlignment="1">
      <alignment horizontal="right"/>
    </xf>
    <xf numFmtId="39" fontId="4" fillId="0" borderId="0" xfId="2" applyNumberFormat="1" applyFont="1" applyFill="1"/>
    <xf numFmtId="39" fontId="5" fillId="2" borderId="1" xfId="0" applyNumberFormat="1" applyFont="1" applyFill="1" applyBorder="1"/>
    <xf numFmtId="39" fontId="5" fillId="2" borderId="0" xfId="2" applyNumberFormat="1" applyFont="1" applyFill="1"/>
    <xf numFmtId="39" fontId="5" fillId="2" borderId="0" xfId="0" applyNumberFormat="1" applyFont="1" applyFill="1"/>
    <xf numFmtId="39" fontId="5" fillId="0" borderId="0" xfId="0" quotePrefix="1" applyNumberFormat="1" applyFont="1"/>
    <xf numFmtId="39" fontId="0" fillId="0" borderId="0" xfId="0" applyNumberFormat="1" applyAlignment="1">
      <alignment horizontal="right"/>
    </xf>
    <xf numFmtId="39" fontId="13" fillId="0" borderId="0" xfId="0" applyNumberFormat="1" applyFont="1"/>
    <xf numFmtId="39" fontId="0" fillId="2" borderId="1" xfId="0" applyNumberFormat="1" applyFill="1" applyBorder="1"/>
    <xf numFmtId="39" fontId="4" fillId="2" borderId="0" xfId="2" applyNumberFormat="1" applyFill="1"/>
    <xf numFmtId="39" fontId="4" fillId="2" borderId="0" xfId="2" applyNumberFormat="1" applyFont="1" applyFill="1"/>
    <xf numFmtId="39" fontId="0" fillId="2" borderId="0" xfId="0" applyNumberFormat="1" applyFill="1"/>
    <xf numFmtId="39" fontId="5" fillId="0" borderId="0" xfId="2" applyNumberFormat="1" applyFont="1" applyFill="1"/>
    <xf numFmtId="39" fontId="8" fillId="2" borderId="0" xfId="0" quotePrefix="1" applyNumberFormat="1" applyFont="1" applyFill="1" applyAlignment="1">
      <alignment horizontal="left"/>
    </xf>
    <xf numFmtId="39" fontId="8" fillId="2" borderId="0" xfId="0" applyNumberFormat="1" applyFont="1" applyFill="1"/>
    <xf numFmtId="39" fontId="6" fillId="2" borderId="0" xfId="0" quotePrefix="1" applyNumberFormat="1" applyFont="1" applyFill="1" applyAlignment="1">
      <alignment horizontal="left"/>
    </xf>
    <xf numFmtId="39" fontId="5" fillId="0" borderId="14" xfId="0" applyNumberFormat="1" applyFont="1" applyBorder="1" applyAlignment="1">
      <alignment horizontal="center"/>
    </xf>
    <xf numFmtId="39" fontId="5" fillId="0" borderId="15" xfId="0" applyNumberFormat="1" applyFont="1" applyBorder="1" applyAlignment="1">
      <alignment horizontal="center"/>
    </xf>
    <xf numFmtId="39" fontId="5" fillId="0" borderId="16" xfId="0" applyNumberFormat="1" applyFont="1" applyBorder="1"/>
    <xf numFmtId="39" fontId="5" fillId="0" borderId="15" xfId="0" applyNumberFormat="1" applyFont="1" applyBorder="1"/>
    <xf numFmtId="39" fontId="6" fillId="2" borderId="0" xfId="0" applyNumberFormat="1" applyFont="1" applyFill="1" applyAlignment="1">
      <alignment horizontal="left"/>
    </xf>
    <xf numFmtId="39" fontId="3" fillId="2" borderId="0" xfId="0" applyNumberFormat="1" applyFont="1" applyFill="1" applyAlignment="1">
      <alignment horizontal="left"/>
    </xf>
    <xf numFmtId="39" fontId="2" fillId="2" borderId="0" xfId="0" applyNumberFormat="1" applyFont="1" applyFill="1"/>
    <xf numFmtId="39" fontId="5" fillId="0" borderId="0" xfId="0" quotePrefix="1" applyNumberFormat="1" applyFont="1" applyBorder="1" applyAlignment="1">
      <alignment horizontal="center"/>
    </xf>
    <xf numFmtId="39" fontId="5" fillId="0" borderId="0" xfId="0" applyNumberFormat="1" applyFont="1" applyBorder="1" applyAlignment="1">
      <alignment horizontal="center"/>
    </xf>
    <xf numFmtId="39" fontId="5" fillId="0" borderId="14" xfId="0" applyNumberFormat="1" applyFont="1" applyBorder="1"/>
    <xf numFmtId="39" fontId="5" fillId="2" borderId="15" xfId="0" applyNumberFormat="1" applyFont="1" applyFill="1" applyBorder="1"/>
    <xf numFmtId="39" fontId="5" fillId="0" borderId="9" xfId="0" quotePrefix="1" applyNumberFormat="1" applyFont="1" applyBorder="1" applyAlignment="1">
      <alignment horizontal="center"/>
    </xf>
    <xf numFmtId="39" fontId="5" fillId="0" borderId="9" xfId="0" applyNumberFormat="1" applyFont="1" applyBorder="1" applyAlignment="1">
      <alignment horizontal="center"/>
    </xf>
    <xf numFmtId="39" fontId="5" fillId="0" borderId="0" xfId="0" applyNumberFormat="1" applyFont="1" applyFill="1" applyBorder="1"/>
    <xf numFmtId="39" fontId="5" fillId="0" borderId="1" xfId="0" applyNumberFormat="1" applyFont="1" applyFill="1" applyBorder="1"/>
    <xf numFmtId="39" fontId="14" fillId="0" borderId="0" xfId="0" applyNumberFormat="1" applyFont="1"/>
    <xf numFmtId="39" fontId="15" fillId="0" borderId="0" xfId="0" applyNumberFormat="1" applyFont="1"/>
    <xf numFmtId="39" fontId="16" fillId="0" borderId="0" xfId="0" applyNumberFormat="1" applyFont="1"/>
    <xf numFmtId="39" fontId="5" fillId="0" borderId="16" xfId="0" applyNumberFormat="1" applyFont="1" applyFill="1" applyBorder="1"/>
    <xf numFmtId="0" fontId="1" fillId="0" borderId="0" xfId="0" applyFont="1" applyFill="1"/>
    <xf numFmtId="39" fontId="5" fillId="2" borderId="0" xfId="0" applyNumberFormat="1" applyFont="1" applyFill="1" applyBorder="1"/>
    <xf numFmtId="39" fontId="8" fillId="0" borderId="0" xfId="0" applyNumberFormat="1" applyFont="1" applyFill="1"/>
    <xf numFmtId="0" fontId="21" fillId="0" borderId="0" xfId="0" applyFont="1"/>
    <xf numFmtId="39" fontId="22" fillId="0" borderId="0" xfId="0" applyNumberFormat="1" applyFont="1" applyFill="1"/>
    <xf numFmtId="39" fontId="22" fillId="0" borderId="0" xfId="0" applyNumberFormat="1" applyFont="1" applyAlignment="1">
      <alignment horizontal="right"/>
    </xf>
    <xf numFmtId="39" fontId="37" fillId="0" borderId="0" xfId="0" applyNumberFormat="1" applyFont="1"/>
    <xf numFmtId="39" fontId="0" fillId="5" borderId="0" xfId="0" applyNumberFormat="1" applyFill="1"/>
    <xf numFmtId="39" fontId="4" fillId="5" borderId="0" xfId="2" applyNumberFormat="1" applyFont="1" applyFill="1"/>
    <xf numFmtId="39" fontId="20" fillId="0" borderId="0" xfId="0" applyNumberFormat="1" applyFont="1" applyFill="1" applyAlignment="1">
      <alignment wrapText="1"/>
    </xf>
    <xf numFmtId="0" fontId="10" fillId="0" borderId="0" xfId="0" applyFont="1"/>
    <xf numFmtId="39" fontId="5" fillId="5" borderId="16" xfId="0" applyNumberFormat="1" applyFont="1" applyFill="1" applyBorder="1"/>
    <xf numFmtId="39" fontId="4" fillId="0" borderId="14" xfId="0" applyNumberFormat="1" applyFont="1" applyBorder="1" applyAlignment="1">
      <alignment horizontal="center"/>
    </xf>
    <xf numFmtId="0" fontId="38" fillId="0" borderId="0" xfId="5" applyFont="1" applyFill="1"/>
    <xf numFmtId="39" fontId="38" fillId="0" borderId="0" xfId="5" applyNumberFormat="1" applyFont="1" applyFill="1"/>
    <xf numFmtId="39" fontId="4" fillId="0" borderId="0" xfId="0" applyNumberFormat="1" applyFont="1" applyFill="1"/>
    <xf numFmtId="39" fontId="4" fillId="0" borderId="15" xfId="0" applyNumberFormat="1" applyFont="1" applyBorder="1"/>
    <xf numFmtId="39" fontId="4" fillId="5" borderId="0" xfId="2" applyNumberFormat="1" applyFill="1"/>
    <xf numFmtId="39" fontId="39" fillId="6" borderId="17" xfId="0" applyNumberFormat="1" applyFont="1" applyFill="1" applyBorder="1" applyAlignment="1">
      <alignment horizontal="right"/>
    </xf>
    <xf numFmtId="39" fontId="10" fillId="0" borderId="0" xfId="0" quotePrefix="1" applyNumberFormat="1" applyFont="1" applyAlignment="1">
      <alignment horizontal="left"/>
    </xf>
    <xf numFmtId="39" fontId="4" fillId="0" borderId="0" xfId="0" applyNumberFormat="1" applyFont="1"/>
    <xf numFmtId="39" fontId="4" fillId="0" borderId="0" xfId="0" quotePrefix="1" applyNumberFormat="1" applyFont="1" applyAlignment="1">
      <alignment horizontal="left"/>
    </xf>
    <xf numFmtId="39" fontId="4" fillId="0" borderId="0" xfId="0" quotePrefix="1" applyNumberFormat="1" applyFont="1" applyFill="1" applyAlignment="1">
      <alignment horizontal="left"/>
    </xf>
    <xf numFmtId="0" fontId="4" fillId="0" borderId="0" xfId="0" applyFont="1"/>
    <xf numFmtId="44" fontId="4" fillId="0" borderId="0" xfId="2" applyFont="1"/>
    <xf numFmtId="39" fontId="4" fillId="2" borderId="1" xfId="0" applyNumberFormat="1" applyFont="1" applyFill="1" applyBorder="1"/>
    <xf numFmtId="39" fontId="4" fillId="0" borderId="1" xfId="0" applyNumberFormat="1" applyFont="1" applyBorder="1"/>
    <xf numFmtId="39" fontId="4" fillId="0" borderId="0" xfId="2" applyNumberFormat="1" applyFont="1" applyBorder="1"/>
    <xf numFmtId="39" fontId="4" fillId="0" borderId="0" xfId="0" applyNumberFormat="1" applyFont="1" applyBorder="1"/>
    <xf numFmtId="39" fontId="4" fillId="0" borderId="0" xfId="1" applyNumberFormat="1" applyFont="1"/>
    <xf numFmtId="39" fontId="4" fillId="2" borderId="0" xfId="0" applyNumberFormat="1" applyFont="1" applyFill="1"/>
    <xf numFmtId="39" fontId="4" fillId="0" borderId="0" xfId="0" applyNumberFormat="1" applyFont="1" applyAlignment="1">
      <alignment horizontal="right"/>
    </xf>
    <xf numFmtId="39" fontId="4" fillId="0" borderId="3" xfId="2" applyNumberFormat="1" applyFont="1" applyBorder="1"/>
    <xf numFmtId="0" fontId="4" fillId="0" borderId="0" xfId="0" applyFont="1" applyFill="1"/>
    <xf numFmtId="39" fontId="4" fillId="0" borderId="1" xfId="0" applyNumberFormat="1" applyFont="1" applyFill="1" applyBorder="1"/>
    <xf numFmtId="39" fontId="4" fillId="0" borderId="0" xfId="0" applyNumberFormat="1" applyFont="1" applyBorder="1" applyAlignment="1">
      <alignment horizontal="center"/>
    </xf>
    <xf numFmtId="39" fontId="4" fillId="0" borderId="14" xfId="0" applyNumberFormat="1" applyFont="1" applyBorder="1"/>
    <xf numFmtId="39" fontId="4" fillId="2" borderId="15" xfId="0" applyNumberFormat="1" applyFont="1" applyFill="1" applyBorder="1"/>
    <xf numFmtId="39" fontId="4" fillId="0" borderId="0" xfId="0" applyNumberFormat="1" applyFont="1" applyFill="1" applyBorder="1"/>
    <xf numFmtId="39" fontId="4" fillId="0" borderId="2" xfId="2" applyNumberFormat="1" applyFont="1" applyBorder="1"/>
    <xf numFmtId="39" fontId="4" fillId="0" borderId="16" xfId="0" applyNumberFormat="1" applyFont="1" applyFill="1" applyBorder="1"/>
    <xf numFmtId="39" fontId="4" fillId="0" borderId="15" xfId="0" applyNumberFormat="1" applyFont="1" applyBorder="1" applyAlignment="1">
      <alignment horizontal="center"/>
    </xf>
    <xf numFmtId="39" fontId="4" fillId="0" borderId="0" xfId="0" applyNumberFormat="1" applyFont="1" applyAlignment="1">
      <alignment horizontal="left"/>
    </xf>
    <xf numFmtId="39" fontId="28" fillId="0" borderId="0" xfId="0" quotePrefix="1" applyNumberFormat="1" applyFont="1" applyAlignment="1">
      <alignment horizontal="left"/>
    </xf>
    <xf numFmtId="39" fontId="28" fillId="0" borderId="0" xfId="0" applyNumberFormat="1" applyFont="1"/>
    <xf numFmtId="39" fontId="4" fillId="2" borderId="0" xfId="0" quotePrefix="1" applyNumberFormat="1" applyFont="1" applyFill="1" applyAlignment="1">
      <alignment horizontal="left"/>
    </xf>
    <xf numFmtId="39" fontId="10" fillId="0" borderId="0" xfId="0" applyNumberFormat="1" applyFont="1" applyAlignment="1">
      <alignment horizontal="left"/>
    </xf>
    <xf numFmtId="0" fontId="4" fillId="0" borderId="1" xfId="0" applyFont="1" applyBorder="1" applyAlignment="1">
      <alignment horizontal="centerContinuous"/>
    </xf>
    <xf numFmtId="39" fontId="0" fillId="5" borderId="1" xfId="0" applyNumberFormat="1" applyFill="1" applyBorder="1"/>
    <xf numFmtId="39" fontId="4" fillId="0" borderId="0" xfId="0" applyNumberFormat="1" applyFont="1" applyAlignment="1">
      <alignment wrapText="1"/>
    </xf>
    <xf numFmtId="39" fontId="0" fillId="7" borderId="0" xfId="0" applyNumberFormat="1" applyFill="1"/>
    <xf numFmtId="39" fontId="10" fillId="0" borderId="2" xfId="0" applyNumberFormat="1" applyFont="1" applyBorder="1" applyAlignment="1">
      <alignment horizontal="left"/>
    </xf>
    <xf numFmtId="39" fontId="10" fillId="0" borderId="0" xfId="0" applyNumberFormat="1" applyFont="1"/>
    <xf numFmtId="39" fontId="4" fillId="0" borderId="1" xfId="0" applyNumberFormat="1" applyFont="1" applyBorder="1" applyAlignment="1">
      <alignment horizontal="centerContinuous"/>
    </xf>
    <xf numFmtId="39" fontId="4" fillId="5" borderId="1" xfId="0" applyNumberFormat="1" applyFont="1" applyFill="1" applyBorder="1"/>
    <xf numFmtId="39" fontId="4" fillId="5" borderId="0" xfId="0" applyNumberFormat="1" applyFont="1" applyFill="1"/>
    <xf numFmtId="39" fontId="4" fillId="0" borderId="16" xfId="0" applyNumberFormat="1" applyFont="1" applyBorder="1"/>
    <xf numFmtId="0" fontId="40" fillId="0" borderId="0" xfId="0" applyFont="1"/>
    <xf numFmtId="39" fontId="5" fillId="5" borderId="0" xfId="2" applyNumberFormat="1" applyFont="1" applyFill="1"/>
    <xf numFmtId="39" fontId="12" fillId="0" borderId="0" xfId="0" applyNumberFormat="1" applyFont="1" applyFill="1" applyAlignment="1">
      <alignment wrapText="1"/>
    </xf>
    <xf numFmtId="0" fontId="19" fillId="0" borderId="0" xfId="0" applyNumberFormat="1" applyFont="1" applyFill="1" applyAlignment="1">
      <alignment wrapText="1"/>
    </xf>
    <xf numFmtId="39" fontId="8" fillId="5" borderId="0" xfId="0" applyNumberFormat="1" applyFont="1" applyFill="1"/>
    <xf numFmtId="39" fontId="5" fillId="5" borderId="0" xfId="0" applyNumberFormat="1" applyFont="1" applyFill="1"/>
    <xf numFmtId="39" fontId="8" fillId="5" borderId="0" xfId="0" quotePrefix="1" applyNumberFormat="1" applyFont="1" applyFill="1" applyAlignment="1">
      <alignment horizontal="left"/>
    </xf>
    <xf numFmtId="39" fontId="5" fillId="5" borderId="0" xfId="0" quotePrefix="1" applyNumberFormat="1" applyFont="1" applyFill="1" applyAlignment="1">
      <alignment horizontal="left"/>
    </xf>
    <xf numFmtId="0" fontId="40" fillId="5" borderId="0" xfId="0" applyFont="1" applyFill="1" applyBorder="1"/>
    <xf numFmtId="0" fontId="41" fillId="5" borderId="0" xfId="0" applyFont="1" applyFill="1" applyBorder="1" applyAlignment="1">
      <alignment horizontal="right"/>
    </xf>
    <xf numFmtId="0" fontId="29" fillId="5" borderId="0" xfId="0" applyFont="1" applyFill="1" applyAlignment="1">
      <alignment horizontal="left"/>
    </xf>
    <xf numFmtId="39" fontId="18" fillId="0" borderId="0" xfId="0" applyNumberFormat="1" applyFont="1" applyAlignment="1">
      <alignment horizontal="left"/>
    </xf>
    <xf numFmtId="39" fontId="18" fillId="0" borderId="0" xfId="0" quotePrefix="1" applyNumberFormat="1" applyFont="1" applyAlignment="1">
      <alignment horizontal="left"/>
    </xf>
    <xf numFmtId="39" fontId="4" fillId="5" borderId="0" xfId="0" quotePrefix="1" applyNumberFormat="1" applyFont="1" applyFill="1" applyAlignment="1">
      <alignment horizontal="left"/>
    </xf>
    <xf numFmtId="0" fontId="40" fillId="0" borderId="0" xfId="0" applyFont="1" applyFill="1"/>
    <xf numFmtId="0" fontId="41" fillId="8" borderId="0" xfId="0" applyFont="1" applyFill="1" applyBorder="1" applyAlignment="1">
      <alignment horizontal="right"/>
    </xf>
    <xf numFmtId="0" fontId="10" fillId="8" borderId="0" xfId="0" applyFont="1" applyFill="1"/>
    <xf numFmtId="39" fontId="42" fillId="0" borderId="0" xfId="0" applyNumberFormat="1" applyFont="1"/>
    <xf numFmtId="39" fontId="43" fillId="0" borderId="0" xfId="0" applyNumberFormat="1" applyFont="1"/>
    <xf numFmtId="2" fontId="4" fillId="0" borderId="0" xfId="0" quotePrefix="1" applyNumberFormat="1" applyFont="1" applyAlignment="1">
      <alignment horizontal="left"/>
    </xf>
    <xf numFmtId="39" fontId="22" fillId="0" borderId="0" xfId="0" applyNumberFormat="1" applyFont="1" applyFill="1" applyBorder="1" applyAlignment="1">
      <alignment horizontal="right"/>
    </xf>
    <xf numFmtId="39" fontId="5" fillId="5" borderId="15" xfId="0" applyNumberFormat="1" applyFont="1" applyFill="1" applyBorder="1"/>
    <xf numFmtId="39" fontId="4" fillId="5" borderId="16" xfId="0" applyNumberFormat="1" applyFont="1" applyFill="1" applyBorder="1"/>
    <xf numFmtId="43" fontId="0" fillId="0" borderId="0" xfId="1" applyFont="1"/>
    <xf numFmtId="43" fontId="44" fillId="0" borderId="0" xfId="1" applyFont="1" applyAlignment="1">
      <alignment horizontal="right"/>
    </xf>
    <xf numFmtId="39" fontId="4" fillId="5" borderId="14" xfId="0" applyNumberFormat="1" applyFont="1" applyFill="1" applyBorder="1" applyAlignment="1">
      <alignment horizontal="center"/>
    </xf>
    <xf numFmtId="39" fontId="5" fillId="5" borderId="15" xfId="0" applyNumberFormat="1" applyFont="1" applyFill="1" applyBorder="1" applyAlignment="1">
      <alignment horizontal="center"/>
    </xf>
    <xf numFmtId="164" fontId="5" fillId="2" borderId="15" xfId="0" applyNumberFormat="1" applyFont="1" applyFill="1" applyBorder="1"/>
    <xf numFmtId="2" fontId="4" fillId="0" borderId="0" xfId="0" applyNumberFormat="1" applyFont="1"/>
    <xf numFmtId="39" fontId="4" fillId="0" borderId="0" xfId="0" applyNumberFormat="1" applyFont="1" applyFill="1" applyBorder="1" applyAlignment="1">
      <alignment horizontal="center"/>
    </xf>
    <xf numFmtId="39" fontId="0" fillId="0" borderId="0" xfId="0" applyNumberFormat="1" applyFill="1" applyBorder="1" applyAlignment="1">
      <alignment horizontal="center"/>
    </xf>
    <xf numFmtId="0" fontId="45" fillId="0" borderId="0" xfId="0" applyFont="1" applyFill="1" applyAlignment="1">
      <alignment horizontal="center"/>
    </xf>
    <xf numFmtId="39" fontId="46" fillId="9" borderId="22" xfId="0" applyNumberFormat="1" applyFont="1" applyFill="1" applyBorder="1" applyAlignment="1">
      <alignment horizontal="right"/>
    </xf>
    <xf numFmtId="39" fontId="2" fillId="5" borderId="0" xfId="0" applyNumberFormat="1" applyFont="1" applyFill="1"/>
    <xf numFmtId="39" fontId="4" fillId="2" borderId="1" xfId="2" applyNumberFormat="1" applyFill="1" applyBorder="1"/>
    <xf numFmtId="43" fontId="46" fillId="9" borderId="23" xfId="1" applyFont="1" applyFill="1" applyBorder="1" applyAlignment="1">
      <alignment horizontal="right"/>
    </xf>
    <xf numFmtId="39" fontId="5" fillId="0" borderId="14" xfId="0" applyNumberFormat="1" applyFont="1" applyFill="1" applyBorder="1" applyAlignment="1">
      <alignment horizontal="center"/>
    </xf>
    <xf numFmtId="39" fontId="5" fillId="5" borderId="1" xfId="0" applyNumberFormat="1" applyFont="1" applyFill="1" applyBorder="1"/>
    <xf numFmtId="39" fontId="5" fillId="0" borderId="0" xfId="0" applyNumberFormat="1" applyFont="1" applyFill="1" applyAlignment="1">
      <alignment horizontal="right"/>
    </xf>
    <xf numFmtId="39" fontId="5" fillId="0" borderId="19" xfId="0" applyNumberFormat="1" applyFont="1" applyFill="1" applyBorder="1"/>
    <xf numFmtId="39" fontId="4" fillId="0" borderId="0" xfId="0" applyNumberFormat="1" applyFont="1" applyFill="1" applyAlignment="1">
      <alignment horizontal="left" vertical="center"/>
    </xf>
    <xf numFmtId="43" fontId="10" fillId="5" borderId="0" xfId="1" applyFont="1" applyFill="1" applyBorder="1"/>
    <xf numFmtId="39" fontId="4" fillId="2" borderId="20" xfId="0" applyNumberFormat="1" applyFont="1" applyFill="1" applyBorder="1"/>
    <xf numFmtId="39" fontId="9" fillId="5" borderId="0" xfId="0" applyNumberFormat="1" applyFont="1" applyFill="1"/>
    <xf numFmtId="9" fontId="7" fillId="0" borderId="0" xfId="0" quotePrefix="1" applyNumberFormat="1" applyFont="1" applyAlignment="1">
      <alignment horizontal="left"/>
    </xf>
    <xf numFmtId="39" fontId="10" fillId="5" borderId="0" xfId="0" applyNumberFormat="1" applyFont="1" applyFill="1"/>
    <xf numFmtId="39" fontId="10" fillId="5" borderId="0" xfId="2" applyNumberFormat="1" applyFont="1" applyFill="1"/>
    <xf numFmtId="39" fontId="18" fillId="0" borderId="0" xfId="0" applyNumberFormat="1" applyFont="1"/>
    <xf numFmtId="39" fontId="4" fillId="0" borderId="2" xfId="2" applyNumberFormat="1" applyFont="1" applyFill="1" applyBorder="1"/>
    <xf numFmtId="39" fontId="4" fillId="5" borderId="15" xfId="0" applyNumberFormat="1" applyFont="1" applyFill="1" applyBorder="1"/>
    <xf numFmtId="39" fontId="4" fillId="8" borderId="0" xfId="0" applyNumberFormat="1" applyFont="1" applyFill="1"/>
    <xf numFmtId="39" fontId="29" fillId="8" borderId="0" xfId="0" applyNumberFormat="1" applyFont="1" applyFill="1"/>
    <xf numFmtId="39" fontId="8" fillId="0" borderId="0" xfId="0" quotePrefix="1" applyNumberFormat="1" applyFont="1" applyFill="1" applyAlignment="1">
      <alignment horizontal="left"/>
    </xf>
    <xf numFmtId="0" fontId="0" fillId="0" borderId="0" xfId="0" applyFill="1"/>
    <xf numFmtId="0" fontId="0" fillId="0" borderId="0" xfId="0" applyFill="1" applyAlignment="1">
      <alignment wrapText="1"/>
    </xf>
    <xf numFmtId="43" fontId="30" fillId="0" borderId="0" xfId="1" applyFont="1" applyFill="1"/>
    <xf numFmtId="43" fontId="0" fillId="0" borderId="0" xfId="1" applyFont="1" applyFill="1"/>
    <xf numFmtId="39" fontId="5" fillId="4" borderId="21" xfId="11" applyNumberFormat="1" applyFont="1"/>
    <xf numFmtId="39" fontId="18" fillId="5" borderId="0" xfId="0" quotePrefix="1" applyNumberFormat="1" applyFont="1" applyFill="1" applyAlignment="1">
      <alignment horizontal="left"/>
    </xf>
    <xf numFmtId="39" fontId="10" fillId="5" borderId="0" xfId="0" applyNumberFormat="1" applyFont="1" applyFill="1" applyAlignment="1">
      <alignment horizontal="left"/>
    </xf>
    <xf numFmtId="39" fontId="4" fillId="5" borderId="0" xfId="0" applyNumberFormat="1" applyFont="1" applyFill="1" applyAlignment="1">
      <alignment horizontal="center"/>
    </xf>
    <xf numFmtId="39" fontId="4" fillId="5" borderId="0" xfId="0" applyNumberFormat="1" applyFont="1" applyFill="1" applyAlignment="1">
      <alignment horizontal="right"/>
    </xf>
    <xf numFmtId="39" fontId="35" fillId="0" borderId="0" xfId="5" applyNumberFormat="1" applyFill="1"/>
    <xf numFmtId="39" fontId="0" fillId="8" borderId="0" xfId="0" applyNumberFormat="1" applyFill="1"/>
    <xf numFmtId="39" fontId="5" fillId="8" borderId="0" xfId="0" applyNumberFormat="1" applyFont="1" applyFill="1"/>
    <xf numFmtId="39" fontId="4" fillId="0" borderId="0" xfId="0" applyNumberFormat="1" applyFont="1" applyFill="1" applyBorder="1" applyAlignment="1"/>
    <xf numFmtId="39" fontId="5" fillId="5" borderId="0" xfId="0" applyNumberFormat="1" applyFont="1" applyFill="1" applyAlignment="1">
      <alignment horizontal="center"/>
    </xf>
    <xf numFmtId="39" fontId="8" fillId="0" borderId="0" xfId="0" applyNumberFormat="1" applyFont="1" applyFill="1" applyAlignment="1">
      <alignment vertical="top" wrapText="1"/>
    </xf>
    <xf numFmtId="0" fontId="49" fillId="8" borderId="0" xfId="0" applyFont="1" applyFill="1"/>
    <xf numFmtId="0" fontId="19" fillId="5" borderId="0" xfId="0" applyFont="1" applyFill="1"/>
    <xf numFmtId="39" fontId="50" fillId="5" borderId="0" xfId="0" applyNumberFormat="1" applyFont="1" applyFill="1"/>
    <xf numFmtId="0" fontId="31" fillId="5" borderId="0" xfId="0" applyFont="1" applyFill="1"/>
    <xf numFmtId="43" fontId="4" fillId="7" borderId="0" xfId="1" applyFill="1"/>
    <xf numFmtId="39" fontId="18" fillId="7" borderId="0" xfId="0" applyNumberFormat="1" applyFont="1" applyFill="1"/>
    <xf numFmtId="39" fontId="2" fillId="7" borderId="0" xfId="0" applyNumberFormat="1" applyFont="1" applyFill="1"/>
    <xf numFmtId="39" fontId="33" fillId="7" borderId="0" xfId="0" applyNumberFormat="1" applyFont="1" applyFill="1"/>
    <xf numFmtId="0" fontId="0" fillId="7" borderId="0" xfId="0" applyFill="1" applyAlignment="1">
      <alignment horizontal="right"/>
    </xf>
    <xf numFmtId="0" fontId="4" fillId="7" borderId="0" xfId="0" applyFont="1" applyFill="1"/>
    <xf numFmtId="0" fontId="4" fillId="7" borderId="0" xfId="0" applyFont="1" applyFill="1" applyAlignment="1">
      <alignment horizontal="left"/>
    </xf>
    <xf numFmtId="39" fontId="0" fillId="7" borderId="0" xfId="0" applyNumberFormat="1" applyFill="1" applyAlignment="1">
      <alignment horizontal="center"/>
    </xf>
    <xf numFmtId="39" fontId="0" fillId="7" borderId="0" xfId="0" applyNumberFormat="1" applyFill="1" applyAlignment="1">
      <alignment horizontal="left"/>
    </xf>
    <xf numFmtId="0" fontId="0" fillId="7" borderId="0" xfId="0" applyFill="1" applyAlignment="1">
      <alignment horizontal="left"/>
    </xf>
    <xf numFmtId="0" fontId="4" fillId="7" borderId="0" xfId="0" applyFont="1" applyFill="1" applyAlignment="1">
      <alignment horizontal="right"/>
    </xf>
    <xf numFmtId="43" fontId="46" fillId="5" borderId="16" xfId="1" applyFont="1" applyFill="1" applyBorder="1" applyAlignment="1">
      <alignment horizontal="right"/>
    </xf>
    <xf numFmtId="43" fontId="46" fillId="9" borderId="22" xfId="1" applyFont="1" applyFill="1" applyBorder="1" applyAlignment="1">
      <alignment horizontal="right"/>
    </xf>
    <xf numFmtId="39" fontId="3" fillId="5" borderId="0" xfId="0" applyNumberFormat="1" applyFont="1" applyFill="1" applyAlignment="1">
      <alignment horizontal="left"/>
    </xf>
    <xf numFmtId="39" fontId="5" fillId="5" borderId="0" xfId="0" applyNumberFormat="1" applyFont="1" applyFill="1" applyBorder="1"/>
    <xf numFmtId="39" fontId="4" fillId="5" borderId="0" xfId="0" applyNumberFormat="1" applyFont="1" applyFill="1" applyBorder="1" applyAlignment="1"/>
    <xf numFmtId="0" fontId="47" fillId="5" borderId="0" xfId="0" applyFont="1" applyFill="1" applyBorder="1"/>
    <xf numFmtId="39" fontId="8" fillId="0" borderId="0" xfId="0" applyNumberFormat="1" applyFont="1" applyFill="1" applyAlignment="1">
      <alignment horizontal="center" vertical="top" wrapText="1"/>
    </xf>
    <xf numFmtId="39" fontId="8" fillId="0" borderId="0" xfId="0" quotePrefix="1" applyNumberFormat="1" applyFont="1"/>
    <xf numFmtId="0" fontId="32" fillId="5" borderId="0" xfId="0" applyFont="1" applyFill="1" applyAlignment="1">
      <alignment vertical="center"/>
    </xf>
    <xf numFmtId="0" fontId="34" fillId="5" borderId="0" xfId="0" applyFont="1" applyFill="1" applyAlignment="1">
      <alignment vertical="center"/>
    </xf>
    <xf numFmtId="39" fontId="2" fillId="0" borderId="0" xfId="0" applyNumberFormat="1" applyFont="1" applyFill="1" applyAlignment="1">
      <alignment horizontal="center"/>
    </xf>
    <xf numFmtId="49" fontId="51" fillId="0" borderId="0" xfId="0" applyNumberFormat="1" applyFont="1" applyFill="1" applyBorder="1" applyAlignment="1">
      <alignment horizontal="center" wrapText="1"/>
    </xf>
    <xf numFmtId="39" fontId="4" fillId="0" borderId="0" xfId="9" applyNumberFormat="1"/>
    <xf numFmtId="39" fontId="8" fillId="0" borderId="0" xfId="9" applyNumberFormat="1" applyFont="1"/>
    <xf numFmtId="39" fontId="4" fillId="10" borderId="0" xfId="9" applyNumberFormat="1" applyFill="1"/>
    <xf numFmtId="0" fontId="52" fillId="10" borderId="0" xfId="9" applyFont="1" applyFill="1" applyAlignment="1">
      <alignment vertical="center"/>
    </xf>
    <xf numFmtId="39" fontId="4" fillId="0" borderId="0" xfId="9" applyNumberFormat="1" applyFont="1"/>
    <xf numFmtId="39" fontId="4" fillId="0" borderId="16" xfId="9" applyNumberFormat="1" applyFont="1" applyBorder="1"/>
    <xf numFmtId="39" fontId="4" fillId="0" borderId="15" xfId="9" applyNumberFormat="1" applyFont="1" applyBorder="1"/>
    <xf numFmtId="39" fontId="4" fillId="2" borderId="1" xfId="9" applyNumberFormat="1" applyFill="1" applyBorder="1"/>
    <xf numFmtId="39" fontId="4" fillId="0" borderId="1" xfId="9" applyNumberFormat="1" applyFont="1" applyBorder="1"/>
    <xf numFmtId="39" fontId="8" fillId="0" borderId="0" xfId="9" quotePrefix="1" applyNumberFormat="1" applyFont="1" applyAlignment="1">
      <alignment horizontal="left"/>
    </xf>
    <xf numFmtId="39" fontId="4" fillId="2" borderId="15" xfId="9" applyNumberFormat="1" applyFont="1" applyFill="1" applyBorder="1"/>
    <xf numFmtId="39" fontId="4" fillId="2" borderId="0" xfId="9" applyNumberFormat="1" applyFill="1"/>
    <xf numFmtId="39" fontId="4" fillId="0" borderId="14" xfId="9" applyNumberFormat="1" applyFont="1" applyBorder="1"/>
    <xf numFmtId="39" fontId="4" fillId="0" borderId="1" xfId="9" applyNumberFormat="1" applyBorder="1"/>
    <xf numFmtId="39" fontId="4" fillId="8" borderId="16" xfId="9" applyNumberFormat="1" applyFont="1" applyFill="1" applyBorder="1"/>
    <xf numFmtId="39" fontId="4" fillId="0" borderId="15" xfId="9" applyNumberFormat="1" applyFont="1" applyBorder="1" applyAlignment="1">
      <alignment horizontal="center"/>
    </xf>
    <xf numFmtId="39" fontId="4" fillId="0" borderId="14" xfId="9" applyNumberFormat="1" applyFont="1" applyBorder="1" applyAlignment="1">
      <alignment horizontal="center"/>
    </xf>
    <xf numFmtId="39" fontId="7" fillId="0" borderId="0" xfId="9" applyNumberFormat="1" applyFont="1"/>
    <xf numFmtId="39" fontId="7" fillId="0" borderId="0" xfId="9" quotePrefix="1" applyNumberFormat="1" applyFont="1" applyAlignment="1">
      <alignment horizontal="left"/>
    </xf>
    <xf numFmtId="39" fontId="8" fillId="0" borderId="0" xfId="9" applyNumberFormat="1" applyFont="1" applyAlignment="1">
      <alignment horizontal="left"/>
    </xf>
    <xf numFmtId="39" fontId="4" fillId="0" borderId="0" xfId="9" applyNumberFormat="1" applyBorder="1"/>
    <xf numFmtId="39" fontId="9" fillId="0" borderId="0" xfId="9" quotePrefix="1" applyNumberFormat="1" applyFont="1" applyAlignment="1">
      <alignment horizontal="left"/>
    </xf>
    <xf numFmtId="39" fontId="4" fillId="0" borderId="0" xfId="9" applyNumberFormat="1" applyFont="1" applyBorder="1"/>
    <xf numFmtId="39" fontId="8" fillId="2" borderId="0" xfId="9" applyNumberFormat="1" applyFont="1" applyFill="1"/>
    <xf numFmtId="39" fontId="8" fillId="2" borderId="0" xfId="9" quotePrefix="1" applyNumberFormat="1" applyFont="1" applyFill="1" applyAlignment="1">
      <alignment horizontal="left"/>
    </xf>
    <xf numFmtId="39" fontId="4" fillId="0" borderId="1" xfId="9" applyNumberFormat="1" applyFont="1" applyFill="1" applyBorder="1"/>
    <xf numFmtId="39" fontId="4" fillId="2" borderId="1" xfId="9" applyNumberFormat="1" applyFont="1" applyFill="1" applyBorder="1"/>
    <xf numFmtId="39" fontId="4" fillId="2" borderId="0" xfId="9" applyNumberFormat="1" applyFont="1" applyFill="1"/>
    <xf numFmtId="39" fontId="4" fillId="0" borderId="0" xfId="9" applyNumberFormat="1" applyFill="1" applyBorder="1"/>
    <xf numFmtId="39" fontId="4" fillId="0" borderId="0" xfId="9" applyNumberFormat="1" applyFont="1" applyFill="1" applyBorder="1"/>
    <xf numFmtId="39" fontId="4" fillId="0" borderId="0" xfId="9" quotePrefix="1" applyNumberFormat="1" applyAlignment="1">
      <alignment horizontal="left"/>
    </xf>
    <xf numFmtId="39" fontId="24" fillId="0" borderId="0" xfId="9" applyNumberFormat="1" applyFont="1" applyFill="1"/>
    <xf numFmtId="39" fontId="4" fillId="0" borderId="0" xfId="9" applyNumberFormat="1" applyFont="1" applyFill="1" applyBorder="1" applyAlignment="1">
      <alignment horizontal="center"/>
    </xf>
    <xf numFmtId="39" fontId="4" fillId="0" borderId="0" xfId="9" applyNumberFormat="1" applyFill="1"/>
    <xf numFmtId="39" fontId="4" fillId="0" borderId="0" xfId="9" applyNumberFormat="1" applyFont="1" applyFill="1"/>
    <xf numFmtId="39" fontId="4" fillId="0" borderId="0" xfId="9" quotePrefix="1" applyNumberFormat="1" applyFont="1" applyFill="1" applyAlignment="1">
      <alignment horizontal="left"/>
    </xf>
    <xf numFmtId="39" fontId="8" fillId="0" borderId="0" xfId="9" applyNumberFormat="1" applyFont="1" applyFill="1"/>
    <xf numFmtId="39" fontId="4" fillId="5" borderId="0" xfId="9" applyNumberFormat="1" applyFont="1" applyFill="1"/>
    <xf numFmtId="39" fontId="4" fillId="5" borderId="0" xfId="9" quotePrefix="1" applyNumberFormat="1" applyFont="1" applyFill="1" applyAlignment="1">
      <alignment horizontal="left"/>
    </xf>
    <xf numFmtId="0" fontId="53" fillId="5" borderId="0" xfId="9" applyFont="1" applyFill="1"/>
    <xf numFmtId="39" fontId="10" fillId="5" borderId="0" xfId="9" applyNumberFormat="1" applyFont="1" applyFill="1"/>
    <xf numFmtId="39" fontId="13" fillId="0" borderId="0" xfId="9" applyNumberFormat="1" applyFont="1" applyFill="1"/>
    <xf numFmtId="0" fontId="4" fillId="0" borderId="0" xfId="9"/>
    <xf numFmtId="39" fontId="4" fillId="0" borderId="0" xfId="9" quotePrefix="1" applyNumberFormat="1" applyFont="1" applyAlignment="1">
      <alignment horizontal="left"/>
    </xf>
    <xf numFmtId="39" fontId="4" fillId="5" borderId="0" xfId="9" applyNumberFormat="1" applyFill="1"/>
    <xf numFmtId="39" fontId="10" fillId="0" borderId="0" xfId="9" quotePrefix="1" applyNumberFormat="1" applyFont="1" applyAlignment="1">
      <alignment horizontal="left"/>
    </xf>
    <xf numFmtId="39" fontId="10" fillId="0" borderId="1" xfId="9" applyNumberFormat="1" applyFont="1" applyBorder="1" applyAlignment="1">
      <alignment horizontal="center"/>
    </xf>
    <xf numFmtId="39" fontId="4" fillId="0" borderId="1" xfId="9" applyNumberFormat="1" applyBorder="1" applyAlignment="1">
      <alignment horizontal="centerContinuous"/>
    </xf>
    <xf numFmtId="39" fontId="10" fillId="0" borderId="1" xfId="9" applyNumberFormat="1" applyFont="1" applyBorder="1" applyAlignment="1">
      <alignment horizontal="centerContinuous"/>
    </xf>
    <xf numFmtId="39" fontId="10" fillId="0" borderId="0" xfId="9" applyNumberFormat="1" applyFont="1" applyBorder="1" applyAlignment="1">
      <alignment horizontal="centerContinuous"/>
    </xf>
    <xf numFmtId="39" fontId="9" fillId="0" borderId="0" xfId="9" applyNumberFormat="1" applyFont="1"/>
    <xf numFmtId="39" fontId="9" fillId="0" borderId="2" xfId="9" applyNumberFormat="1" applyFont="1" applyBorder="1" applyAlignment="1">
      <alignment horizontal="left"/>
    </xf>
    <xf numFmtId="39" fontId="9" fillId="0" borderId="0" xfId="9" applyNumberFormat="1" applyFont="1" applyAlignment="1">
      <alignment horizontal="left"/>
    </xf>
    <xf numFmtId="39" fontId="9" fillId="2" borderId="0" xfId="9" applyNumberFormat="1" applyFont="1" applyFill="1" applyAlignment="1">
      <alignment horizontal="left"/>
    </xf>
    <xf numFmtId="39" fontId="6" fillId="2" borderId="0" xfId="9" quotePrefix="1" applyNumberFormat="1" applyFont="1" applyFill="1" applyAlignment="1">
      <alignment horizontal="left"/>
    </xf>
    <xf numFmtId="39" fontId="6" fillId="0" borderId="0" xfId="9" applyNumberFormat="1" applyFont="1" applyAlignment="1">
      <alignment horizontal="left"/>
    </xf>
    <xf numFmtId="39" fontId="6" fillId="0" borderId="0" xfId="9" quotePrefix="1" applyNumberFormat="1" applyFont="1" applyAlignment="1">
      <alignment horizontal="left"/>
    </xf>
    <xf numFmtId="0" fontId="32" fillId="5" borderId="0" xfId="0" applyFont="1" applyFill="1"/>
    <xf numFmtId="39" fontId="56" fillId="11" borderId="23" xfId="0" applyNumberFormat="1" applyFont="1" applyFill="1" applyBorder="1" applyAlignment="1">
      <alignment horizontal="right"/>
    </xf>
    <xf numFmtId="0" fontId="57" fillId="11" borderId="23" xfId="0" applyFont="1" applyFill="1" applyBorder="1" applyAlignment="1">
      <alignment horizontal="right"/>
    </xf>
    <xf numFmtId="39" fontId="2" fillId="2" borderId="0" xfId="0" quotePrefix="1" applyNumberFormat="1" applyFont="1" applyFill="1" applyAlignment="1">
      <alignment horizontal="left"/>
    </xf>
    <xf numFmtId="0" fontId="49" fillId="5" borderId="0" xfId="0" applyFont="1" applyFill="1"/>
    <xf numFmtId="39" fontId="4" fillId="0" borderId="24" xfId="0" applyNumberFormat="1" applyFont="1" applyFill="1" applyBorder="1"/>
    <xf numFmtId="39" fontId="5" fillId="5" borderId="25" xfId="0" applyNumberFormat="1" applyFont="1" applyFill="1" applyBorder="1"/>
    <xf numFmtId="0" fontId="1" fillId="5" borderId="0" xfId="0" applyFont="1" applyFill="1"/>
    <xf numFmtId="39" fontId="56" fillId="9" borderId="26" xfId="0" applyNumberFormat="1" applyFont="1" applyFill="1" applyBorder="1" applyAlignment="1">
      <alignment horizontal="right"/>
    </xf>
    <xf numFmtId="39" fontId="4" fillId="7" borderId="0" xfId="1" applyNumberFormat="1" applyFont="1" applyFill="1" applyBorder="1" applyAlignment="1">
      <alignment horizontal="center"/>
    </xf>
    <xf numFmtId="39" fontId="2" fillId="7" borderId="0" xfId="0" applyNumberFormat="1" applyFont="1" applyFill="1" applyAlignment="1">
      <alignment horizontal="left"/>
    </xf>
    <xf numFmtId="43" fontId="4" fillId="5" borderId="15" xfId="1" applyFont="1" applyFill="1" applyBorder="1"/>
    <xf numFmtId="0" fontId="31" fillId="0" borderId="0" xfId="0" applyFont="1"/>
    <xf numFmtId="39" fontId="1" fillId="5" borderId="0" xfId="0" applyNumberFormat="1" applyFont="1" applyFill="1"/>
    <xf numFmtId="0" fontId="47" fillId="0" borderId="0" xfId="0" applyFont="1"/>
    <xf numFmtId="0" fontId="29" fillId="8" borderId="0" xfId="0" applyFont="1" applyFill="1"/>
    <xf numFmtId="0" fontId="48" fillId="8" borderId="0" xfId="0" applyFont="1" applyFill="1" applyAlignment="1">
      <alignment horizontal="right"/>
    </xf>
    <xf numFmtId="39" fontId="1" fillId="0" borderId="0" xfId="0" applyNumberFormat="1" applyFont="1" applyAlignment="1">
      <alignment horizontal="centerContinuous"/>
    </xf>
    <xf numFmtId="39" fontId="1" fillId="2" borderId="0" xfId="0" quotePrefix="1" applyNumberFormat="1" applyFont="1" applyFill="1" applyAlignment="1">
      <alignment horizontal="left"/>
    </xf>
    <xf numFmtId="0" fontId="58" fillId="5" borderId="0" xfId="0" applyFont="1" applyFill="1" applyAlignment="1">
      <alignment vertical="center" wrapText="1"/>
    </xf>
    <xf numFmtId="39" fontId="1" fillId="0" borderId="0" xfId="0" applyNumberFormat="1" applyFont="1" applyAlignment="1">
      <alignment horizontal="left"/>
    </xf>
    <xf numFmtId="39" fontId="1" fillId="0" borderId="0" xfId="0" quotePrefix="1" applyNumberFormat="1" applyFont="1" applyAlignment="1">
      <alignment horizontal="left"/>
    </xf>
    <xf numFmtId="39" fontId="1" fillId="2" borderId="0" xfId="0" applyNumberFormat="1" applyFont="1" applyFill="1" applyAlignment="1">
      <alignment horizontal="left"/>
    </xf>
    <xf numFmtId="39" fontId="1" fillId="0" borderId="2" xfId="0" applyNumberFormat="1" applyFont="1" applyBorder="1" applyAlignment="1">
      <alignment horizontal="left"/>
    </xf>
    <xf numFmtId="39" fontId="1" fillId="0" borderId="0" xfId="0" applyNumberFormat="1" applyFont="1"/>
    <xf numFmtId="39" fontId="12" fillId="0" borderId="0" xfId="0" applyNumberFormat="1" applyFont="1"/>
    <xf numFmtId="0" fontId="41" fillId="5" borderId="0" xfId="0" applyFont="1" applyFill="1" applyAlignment="1">
      <alignment horizontal="right"/>
    </xf>
    <xf numFmtId="39" fontId="4" fillId="12" borderId="0" xfId="0" applyNumberFormat="1" applyFont="1" applyFill="1"/>
    <xf numFmtId="0" fontId="2" fillId="0" borderId="0" xfId="0" applyFont="1" applyAlignment="1">
      <alignment vertical="center"/>
    </xf>
    <xf numFmtId="39" fontId="0" fillId="0" borderId="0" xfId="0" applyNumberFormat="1" applyAlignment="1">
      <alignment wrapText="1"/>
    </xf>
    <xf numFmtId="39" fontId="4" fillId="0" borderId="0" xfId="0" applyNumberFormat="1" applyFont="1" applyAlignment="1">
      <alignment horizontal="center"/>
    </xf>
    <xf numFmtId="39" fontId="4" fillId="5" borderId="18" xfId="0" applyNumberFormat="1" applyFont="1" applyFill="1" applyBorder="1"/>
    <xf numFmtId="39" fontId="4" fillId="0" borderId="10" xfId="0" applyNumberFormat="1" applyFont="1" applyBorder="1"/>
    <xf numFmtId="39" fontId="8" fillId="8" borderId="0" xfId="0" applyNumberFormat="1" applyFont="1" applyFill="1" applyAlignment="1">
      <alignment horizontal="center" vertical="top" wrapText="1"/>
    </xf>
    <xf numFmtId="39" fontId="8" fillId="8" borderId="0" xfId="0" applyNumberFormat="1" applyFont="1" applyFill="1" applyAlignment="1">
      <alignment horizontal="left" vertical="top" wrapText="1" indent="1"/>
    </xf>
    <xf numFmtId="0" fontId="54" fillId="5" borderId="0" xfId="0" applyFont="1" applyFill="1" applyBorder="1" applyAlignment="1">
      <alignment horizontal="center" vertical="center" wrapText="1"/>
    </xf>
    <xf numFmtId="49" fontId="51" fillId="0" borderId="0" xfId="0" applyNumberFormat="1" applyFont="1" applyFill="1" applyBorder="1" applyAlignment="1">
      <alignment horizontal="center" wrapText="1"/>
    </xf>
    <xf numFmtId="0" fontId="55" fillId="5" borderId="0" xfId="9" applyFont="1" applyFill="1" applyBorder="1" applyAlignment="1">
      <alignment horizontal="center" vertical="center" wrapText="1"/>
    </xf>
    <xf numFmtId="0" fontId="40" fillId="0" borderId="0" xfId="0" applyFont="1" applyFill="1" applyAlignment="1">
      <alignment horizontal="center"/>
    </xf>
    <xf numFmtId="0" fontId="17" fillId="0" borderId="0" xfId="0" applyFont="1" applyAlignment="1">
      <alignment horizontal="center"/>
    </xf>
  </cellXfs>
  <cellStyles count="12">
    <cellStyle name="Comma" xfId="1" builtinId="3"/>
    <cellStyle name="Currency" xfId="2" builtinId="4"/>
    <cellStyle name="Currency 2" xfId="3"/>
    <cellStyle name="Currency 3" xfId="4"/>
    <cellStyle name="Neutral" xfId="5" builtinId="28"/>
    <cellStyle name="Normal" xfId="0" builtinId="0"/>
    <cellStyle name="Normal 2" xfId="6"/>
    <cellStyle name="Normal 2 2" xfId="7"/>
    <cellStyle name="Normal 3" xfId="8"/>
    <cellStyle name="Normal 4" xfId="9"/>
    <cellStyle name="Normal 5" xfId="10"/>
    <cellStyle name="Note" xfId="11" builtin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ymsoffice-my.sharepoint.com/personal/jessica_rodgers_ky_gov1/Documents/Desktop/24-LAWFIRE%20SCHEDULE-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0-%20LawFIRE%20SCHEDULE%20-%20Ju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LAWFIRE%20SCHEDULE-Master.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0-%20LawFIRE%20SCHEDULE%20-%20M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 WKSHT"/>
      <sheetName val="JUL"/>
      <sheetName val="AUG WKSHT"/>
      <sheetName val="AUG"/>
      <sheetName val="SEP WKSHT"/>
      <sheetName val="SEP"/>
      <sheetName val="OCT WKSHT"/>
      <sheetName val="OCT"/>
      <sheetName val="NOV WKSHT"/>
      <sheetName val="NOV"/>
      <sheetName val="DEC WKSHT"/>
      <sheetName val="DEC"/>
      <sheetName val="JAN WKSHT"/>
      <sheetName val="JAN"/>
      <sheetName val="FEB WKSHT"/>
      <sheetName val="FEB"/>
      <sheetName val="MAR WKSHT"/>
      <sheetName val="APR WKSHT"/>
      <sheetName val="APR"/>
      <sheetName val="MAY WKSHT"/>
      <sheetName val="MAY"/>
      <sheetName val="JUN WKSHT"/>
      <sheetName val="JUN"/>
      <sheetName val="Period 13 WKSHT"/>
      <sheetName val="Period 13"/>
    </sheetNames>
    <sheetDataSet>
      <sheetData sheetId="0" refreshError="1">
        <row r="1">
          <cell r="A1" t="str">
            <v>COMMONWEALTH OF KENTUCKY</v>
          </cell>
        </row>
        <row r="2">
          <cell r="A2" t="str">
            <v>LAW ENFORCEMENT FOUNDATION AND FIREFIGHTERS FOUNDATION FUNDS</v>
          </cell>
        </row>
      </sheetData>
      <sheetData sheetId="1" refreshError="1">
        <row r="3">
          <cell r="A3" t="str">
            <v>SURTAX RECEIPTS SCHEDULE</v>
          </cell>
        </row>
        <row r="7">
          <cell r="A7" t="str">
            <v>DEPARTMENT OF REVENUE SURTAX RECEIPTS COLLECTED</v>
          </cell>
        </row>
        <row r="10">
          <cell r="B10" t="str">
            <v>GROSS RECEIPTS:</v>
          </cell>
        </row>
        <row r="11">
          <cell r="C11" t="str">
            <v>VOLUNTEER FIRE DEPARTMENT AID</v>
          </cell>
        </row>
        <row r="12">
          <cell r="C12" t="str">
            <v>LAW ENFORCEMENT AND FIREFIGHTERS FUND</v>
          </cell>
        </row>
        <row r="13">
          <cell r="B13" t="str">
            <v>REVENUE REFUNDS</v>
          </cell>
        </row>
        <row r="14">
          <cell r="B14" t="str">
            <v>UNHONORED CHECKS</v>
          </cell>
        </row>
        <row r="15">
          <cell r="B15" t="str">
            <v>RECEIPT ADJUSTMENTS</v>
          </cell>
        </row>
        <row r="16">
          <cell r="C16" t="str">
            <v>NET RECEIPTS TO BE DISTRIBUTED</v>
          </cell>
        </row>
        <row r="19">
          <cell r="A19" t="str">
            <v>LAW ENFORCEMENT FOUNDATION FUND</v>
          </cell>
        </row>
        <row r="22">
          <cell r="B22" t="str">
            <v>BALANCE FORWARDED FROM FISCAL YEAR 2023</v>
          </cell>
        </row>
        <row r="26">
          <cell r="B26" t="str">
            <v>REVENUE DISTRIBUTION INCOME:</v>
          </cell>
        </row>
        <row r="27">
          <cell r="C27" t="str">
            <v>REVENUE DISTRIBUTION</v>
          </cell>
        </row>
        <row r="28">
          <cell r="C28" t="str">
            <v>REVENUE REFUNDS:  PRIOR YEAR</v>
          </cell>
        </row>
        <row r="29">
          <cell r="C29" t="str">
            <v>REVENUE REFUNDS:  CURRENT YEAR</v>
          </cell>
        </row>
        <row r="30">
          <cell r="C30" t="str">
            <v>REFUND OF PRIOR YEAR DISBURSEMENTS</v>
          </cell>
        </row>
        <row r="31">
          <cell r="C31" t="str">
            <v>UNHONORED CHECKS</v>
          </cell>
        </row>
        <row r="32">
          <cell r="C32" t="str">
            <v>RECEIPT ADJUSTMENTS</v>
          </cell>
        </row>
        <row r="34">
          <cell r="B34" t="str">
            <v>INVESTMENT INCOME</v>
          </cell>
        </row>
        <row r="36">
          <cell r="B36" t="str">
            <v>OTHER REVENUE</v>
          </cell>
        </row>
        <row r="38">
          <cell r="B38" t="str">
            <v>EXPENDITURES</v>
          </cell>
        </row>
        <row r="43">
          <cell r="A43" t="str">
            <v>FIREFIGHTERS FOUNDATION FUND</v>
          </cell>
        </row>
        <row r="50">
          <cell r="B50" t="str">
            <v>REVENUE DISTRIBUTION INCOME:</v>
          </cell>
        </row>
        <row r="51">
          <cell r="C51" t="str">
            <v>REVENUE DISTRIBUTION</v>
          </cell>
        </row>
        <row r="52">
          <cell r="C52" t="str">
            <v>REVENUE REFUNDS:  PRIOR YEAR</v>
          </cell>
        </row>
        <row r="53">
          <cell r="C53" t="str">
            <v>REVENUE REFUNDS:  CURRENT YEAR</v>
          </cell>
        </row>
        <row r="54">
          <cell r="C54" t="str">
            <v>REFUND OF PRIOR YEAR DISBURSEMENTS</v>
          </cell>
        </row>
        <row r="55">
          <cell r="C55" t="str">
            <v>UNHONORED CHECKS</v>
          </cell>
        </row>
        <row r="56">
          <cell r="C56" t="str">
            <v>RECEIPT ADJUSTMENTS</v>
          </cell>
        </row>
        <row r="58">
          <cell r="B58" t="str">
            <v>INVESTMENT INCOME</v>
          </cell>
        </row>
        <row r="60">
          <cell r="B60" t="str">
            <v>OTHER REVENUE</v>
          </cell>
        </row>
        <row r="62">
          <cell r="B62" t="str">
            <v>EXPENDITURES</v>
          </cell>
        </row>
      </sheetData>
      <sheetData sheetId="2" refreshError="1">
        <row r="63">
          <cell r="C63" t="str">
            <v>CASH EXPENDITURES</v>
          </cell>
        </row>
        <row r="64">
          <cell r="C64" t="str">
            <v>ACCRUED EXPENDITURES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2">
          <cell r="B62" t="str">
            <v>EXPENDITURES (LAW ENFORCEMENT SUMMARY)</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 WKSHT"/>
      <sheetName val="JUN"/>
    </sheetNames>
    <sheetDataSet>
      <sheetData sheetId="0">
        <row r="4">
          <cell r="A4" t="str">
            <v>FOR THE PERIOD JUNE 1, 2024 - JUNE 30, 2024</v>
          </cell>
        </row>
        <row r="11">
          <cell r="H11">
            <v>2343388.87</v>
          </cell>
          <cell r="K11">
            <v>26939334.709999997</v>
          </cell>
        </row>
        <row r="14">
          <cell r="H14">
            <v>12779339.219999999</v>
          </cell>
          <cell r="K14">
            <v>145214927.51999998</v>
          </cell>
        </row>
        <row r="21">
          <cell r="H21">
            <v>-140.54000000000002</v>
          </cell>
          <cell r="K21">
            <v>-208533.62</v>
          </cell>
        </row>
        <row r="25">
          <cell r="H25">
            <v>0</v>
          </cell>
          <cell r="K25">
            <v>0</v>
          </cell>
        </row>
        <row r="29">
          <cell r="H29">
            <v>-230.55</v>
          </cell>
          <cell r="K29">
            <v>-89528.920000000042</v>
          </cell>
        </row>
        <row r="30">
          <cell r="H30">
            <v>15122357</v>
          </cell>
          <cell r="K30">
            <v>171856199.69</v>
          </cell>
        </row>
        <row r="45">
          <cell r="K45">
            <v>73871628.640000001</v>
          </cell>
        </row>
        <row r="47">
          <cell r="B47" t="str">
            <v>CASH BALANCE MAY 31, 2024</v>
          </cell>
          <cell r="H47">
            <v>106412455.88000001</v>
          </cell>
        </row>
        <row r="50">
          <cell r="G50">
            <v>9967884.5999999996</v>
          </cell>
          <cell r="J50">
            <v>113267643.28999999</v>
          </cell>
        </row>
        <row r="51">
          <cell r="J51">
            <v>0</v>
          </cell>
        </row>
        <row r="52">
          <cell r="G52">
            <v>-11503.39</v>
          </cell>
          <cell r="J52">
            <v>-162546.62</v>
          </cell>
        </row>
        <row r="53">
          <cell r="J53">
            <v>0</v>
          </cell>
        </row>
        <row r="54">
          <cell r="J54">
            <v>0</v>
          </cell>
        </row>
        <row r="55">
          <cell r="G55">
            <v>-230.55</v>
          </cell>
          <cell r="J55">
            <v>641953.07999999996</v>
          </cell>
        </row>
        <row r="57">
          <cell r="H57">
            <v>426160.82</v>
          </cell>
          <cell r="K57">
            <v>4471782.5999999996</v>
          </cell>
        </row>
        <row r="59">
          <cell r="K59">
            <v>12931.36</v>
          </cell>
        </row>
        <row r="63">
          <cell r="H63">
            <v>8522896.1299999952</v>
          </cell>
          <cell r="K63">
            <v>83831521.120000005</v>
          </cell>
        </row>
        <row r="65">
          <cell r="B65" t="str">
            <v>CASH BALANCE JUNE 30, 2024</v>
          </cell>
          <cell r="H65">
            <v>108271871.23</v>
          </cell>
          <cell r="K65">
            <v>108271871.22999999</v>
          </cell>
        </row>
        <row r="68">
          <cell r="K68">
            <v>38612985.210000001</v>
          </cell>
        </row>
        <row r="70">
          <cell r="H70">
            <v>47453349.699999988</v>
          </cell>
        </row>
        <row r="75">
          <cell r="G75">
            <v>5154843.49</v>
          </cell>
          <cell r="J75">
            <v>58886618.940000005</v>
          </cell>
        </row>
        <row r="76">
          <cell r="J76">
            <v>0</v>
          </cell>
        </row>
        <row r="77">
          <cell r="G77">
            <v>-3244.55</v>
          </cell>
          <cell r="J77">
            <v>-45846.46</v>
          </cell>
        </row>
        <row r="78">
          <cell r="J78">
            <v>0</v>
          </cell>
        </row>
        <row r="79">
          <cell r="J79">
            <v>0</v>
          </cell>
        </row>
        <row r="80">
          <cell r="J80">
            <v>-731482</v>
          </cell>
        </row>
        <row r="82">
          <cell r="H82">
            <v>209550.04</v>
          </cell>
          <cell r="K82">
            <v>2006735.87</v>
          </cell>
        </row>
        <row r="84">
          <cell r="K84">
            <v>0</v>
          </cell>
        </row>
        <row r="86">
          <cell r="H86">
            <v>3255889.0399999991</v>
          </cell>
          <cell r="K86">
            <v>49170401.920000002</v>
          </cell>
        </row>
        <row r="88">
          <cell r="H88">
            <v>49558609.639999986</v>
          </cell>
          <cell r="K88">
            <v>49558609.640000001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 WKSHT"/>
      <sheetName val="JUL"/>
      <sheetName val="AUG WKSHT"/>
      <sheetName val="AUG"/>
      <sheetName val="SEP WKSHT"/>
      <sheetName val="SEP"/>
      <sheetName val="OCT WKSHT"/>
      <sheetName val="OCT"/>
      <sheetName val="NOV WKSHT"/>
      <sheetName val="NOV"/>
      <sheetName val="DEC WKSHT"/>
      <sheetName val="DEC"/>
      <sheetName val="JAN WKSHT"/>
      <sheetName val="JAN"/>
      <sheetName val="FEB WKSHT"/>
      <sheetName val="FEB"/>
      <sheetName val="MAR WKSHT"/>
      <sheetName val="APR WKSHT"/>
      <sheetName val="APR"/>
      <sheetName val="MAY WKSHT"/>
      <sheetName val="MAY"/>
      <sheetName val="JUN WKSHT"/>
      <sheetName val="JUN"/>
      <sheetName val="Period 13 WKSHT"/>
      <sheetName val="Period 13"/>
    </sheetNames>
    <sheetDataSet>
      <sheetData sheetId="0">
        <row r="1">
          <cell r="A1" t="str">
            <v>COMMONWEALTH OF KENTUCKY</v>
          </cell>
        </row>
        <row r="2">
          <cell r="A2" t="str">
            <v>LAW ENFORCEMENT FOUNDATION AND FIREFIGHTERS FOUNDATION FUNDS</v>
          </cell>
        </row>
      </sheetData>
      <sheetData sheetId="1">
        <row r="3">
          <cell r="A3" t="str">
            <v>SURTAX RECEIPTS SCHEDULE</v>
          </cell>
        </row>
        <row r="7">
          <cell r="A7" t="str">
            <v>DEPARTMENT OF REVENUE SURTAX RECEIPTS COLLECTED</v>
          </cell>
        </row>
        <row r="10">
          <cell r="B10" t="str">
            <v>GROSS RECEIPTS:</v>
          </cell>
        </row>
        <row r="11">
          <cell r="C11" t="str">
            <v>VOLUNTEER FIRE DEPARTMENT AID</v>
          </cell>
        </row>
        <row r="12">
          <cell r="C12" t="str">
            <v>LAW ENFORCEMENT AND FIREFIGHTERS FUND</v>
          </cell>
        </row>
        <row r="13">
          <cell r="B13" t="str">
            <v>REVENUE REFUNDS</v>
          </cell>
        </row>
        <row r="14">
          <cell r="B14" t="str">
            <v>UNHONORED CHECKS</v>
          </cell>
        </row>
        <row r="15">
          <cell r="B15" t="str">
            <v>RECEIPT ADJUSTMENTS</v>
          </cell>
        </row>
        <row r="16">
          <cell r="C16" t="str">
            <v>NET RECEIPTS TO BE DISTRIBUTED</v>
          </cell>
        </row>
        <row r="19">
          <cell r="A19" t="str">
            <v>LAW ENFORCEMENT FOUNDATION FUND</v>
          </cell>
        </row>
        <row r="22">
          <cell r="B22" t="str">
            <v>BALANCE FORWARDED FROM FISCAL YEAR 2023</v>
          </cell>
        </row>
        <row r="26">
          <cell r="B26" t="str">
            <v>REVENUE DISTRIBUTION INCOME:</v>
          </cell>
        </row>
        <row r="27">
          <cell r="C27" t="str">
            <v>REVENUE DISTRIBUTION</v>
          </cell>
        </row>
        <row r="28">
          <cell r="C28" t="str">
            <v>REVENUE REFUNDS:  PRIOR YEAR</v>
          </cell>
        </row>
        <row r="29">
          <cell r="C29" t="str">
            <v>REVENUE REFUNDS:  CURRENT YEAR</v>
          </cell>
        </row>
        <row r="30">
          <cell r="C30" t="str">
            <v>REFUND OF PRIOR YEAR DISBURSEMENTS</v>
          </cell>
        </row>
        <row r="31">
          <cell r="C31" t="str">
            <v>UNHONORED CHECKS</v>
          </cell>
        </row>
        <row r="32">
          <cell r="C32" t="str">
            <v>RECEIPT ADJUSTMENTS</v>
          </cell>
        </row>
        <row r="34">
          <cell r="B34" t="str">
            <v>INVESTMENT INCOME</v>
          </cell>
        </row>
        <row r="36">
          <cell r="B36" t="str">
            <v>OTHER REVENUE</v>
          </cell>
        </row>
        <row r="38">
          <cell r="B38" t="str">
            <v>EXPENDITURES</v>
          </cell>
        </row>
        <row r="43">
          <cell r="A43" t="str">
            <v>FIREFIGHTERS FOUNDATION FUND</v>
          </cell>
        </row>
        <row r="50">
          <cell r="B50" t="str">
            <v>REVENUE DISTRIBUTION INCOME:</v>
          </cell>
        </row>
        <row r="51">
          <cell r="C51" t="str">
            <v>REVENUE DISTRIBUTION</v>
          </cell>
        </row>
        <row r="52">
          <cell r="C52" t="str">
            <v>REVENUE REFUNDS:  PRIOR YEAR</v>
          </cell>
        </row>
        <row r="53">
          <cell r="C53" t="str">
            <v>REVENUE REFUNDS:  CURRENT YEAR</v>
          </cell>
        </row>
        <row r="54">
          <cell r="C54" t="str">
            <v>REFUND OF PRIOR YEAR DISBURSEMENTS</v>
          </cell>
        </row>
        <row r="55">
          <cell r="C55" t="str">
            <v>UNHONORED CHECKS</v>
          </cell>
        </row>
        <row r="56">
          <cell r="C56" t="str">
            <v>RECEIPT ADJUSTMENTS</v>
          </cell>
        </row>
        <row r="58">
          <cell r="B58" t="str">
            <v>INVESTMENT INCOME</v>
          </cell>
        </row>
        <row r="60">
          <cell r="B60" t="str">
            <v>OTHER REVENUE</v>
          </cell>
        </row>
        <row r="62">
          <cell r="B62" t="str">
            <v>EXPENDITURES</v>
          </cell>
        </row>
      </sheetData>
      <sheetData sheetId="2">
        <row r="63">
          <cell r="C63" t="str">
            <v>CASH EXPENDITURES</v>
          </cell>
        </row>
        <row r="64">
          <cell r="C64" t="str">
            <v>ACCRUED EXPENDITURES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2">
          <cell r="B62" t="str">
            <v>EXPENDITURES (LAW ENFORCEMENT SUMMARY)</v>
          </cell>
        </row>
      </sheetData>
      <sheetData sheetId="17">
        <row r="8">
          <cell r="A8" t="str">
            <v>DEPARTMENT OF REVENUE SURTAX RECEIPTS COLLECTED (14E6-130-D130-R000-R284, R285, R286)</v>
          </cell>
        </row>
      </sheetData>
      <sheetData sheetId="18"/>
      <sheetData sheetId="19"/>
      <sheetData sheetId="20"/>
      <sheetData sheetId="21">
        <row r="8">
          <cell r="A8" t="str">
            <v>DEPARTMENT OF REVENUE SURTAX RECEIPTS COLLECTED (14E6-130-D130-R000-R284, R285, R286)</v>
          </cell>
        </row>
        <row r="9">
          <cell r="B9" t="str">
            <v>GROSS RECEIPTS (REVENUE DISTRIBUTION)</v>
          </cell>
        </row>
        <row r="10">
          <cell r="C10" t="str">
            <v>VOLUNTEER FIRE DEPARTMENT AID</v>
          </cell>
        </row>
        <row r="11">
          <cell r="D11" t="str">
            <v>R284 Volunteer Fire Dept Aid Fund</v>
          </cell>
        </row>
        <row r="12">
          <cell r="C12" t="str">
            <v>LAW ENFORCEMENT AND FIREFIGHTERS FUND</v>
          </cell>
        </row>
        <row r="13">
          <cell r="D13" t="str">
            <v>R285 Law Enforcement Fund</v>
          </cell>
        </row>
        <row r="14">
          <cell r="D14" t="str">
            <v>R286 Firefighters Fund</v>
          </cell>
        </row>
        <row r="17">
          <cell r="B17" t="str">
            <v>OTHER DISTRIBUTIONS (review JVs other than Revenue Distribution)</v>
          </cell>
        </row>
        <row r="18">
          <cell r="C18" t="str">
            <v>REVENUE REFUNDS</v>
          </cell>
        </row>
        <row r="19">
          <cell r="D19" t="str">
            <v>R284</v>
          </cell>
        </row>
        <row r="20">
          <cell r="D20" t="str">
            <v>R285</v>
          </cell>
        </row>
        <row r="21">
          <cell r="D21" t="str">
            <v>R286</v>
          </cell>
        </row>
        <row r="22">
          <cell r="C22" t="str">
            <v>UNHONORED CHECKS</v>
          </cell>
        </row>
        <row r="23">
          <cell r="D23" t="str">
            <v>R284</v>
          </cell>
        </row>
        <row r="24">
          <cell r="D24" t="str">
            <v>R285</v>
          </cell>
        </row>
        <row r="25">
          <cell r="D25" t="str">
            <v>R286</v>
          </cell>
        </row>
        <row r="26">
          <cell r="C26" t="str">
            <v>RECEIPT ADJUSTMENTS</v>
          </cell>
        </row>
        <row r="27">
          <cell r="D27" t="str">
            <v>R284</v>
          </cell>
        </row>
        <row r="28">
          <cell r="D28" t="str">
            <v>R285</v>
          </cell>
        </row>
        <row r="29">
          <cell r="D29" t="str">
            <v>R286</v>
          </cell>
        </row>
        <row r="30">
          <cell r="D30" t="str">
            <v>NET RECEIPTS TO BE DISTRIBUTED</v>
          </cell>
        </row>
        <row r="32">
          <cell r="B32" t="str">
            <v>TOTAL</v>
          </cell>
        </row>
        <row r="33">
          <cell r="C33" t="str">
            <v>R284</v>
          </cell>
        </row>
        <row r="34">
          <cell r="C34" t="str">
            <v>R285</v>
          </cell>
        </row>
        <row r="35">
          <cell r="C35" t="str">
            <v>R286</v>
          </cell>
        </row>
        <row r="44">
          <cell r="A44" t="str">
            <v>LAW ENFORCEMENT FOUNDATION FUND (13DB-525-0000)</v>
          </cell>
        </row>
        <row r="45">
          <cell r="B45" t="str">
            <v>BALANCE FORWARDED FROM FISCAL YEAR 2023</v>
          </cell>
        </row>
        <row r="49">
          <cell r="B49" t="str">
            <v>REVENUE DISTRIBUTION INCOME (REVENUE DETAIL WORKSHEET):</v>
          </cell>
        </row>
        <row r="50">
          <cell r="C50" t="str">
            <v>REVENUE DISTRIBUTION (N114)</v>
          </cell>
        </row>
        <row r="51">
          <cell r="C51" t="str">
            <v>REVENUE REFUNDS:  PRIOR YEAR</v>
          </cell>
        </row>
        <row r="52">
          <cell r="C52" t="str">
            <v>REVENUE REFUNDS:  CURRENT YEAR</v>
          </cell>
        </row>
        <row r="53">
          <cell r="C53" t="str">
            <v>REFUND OF PRIOR YEAR DISBURSEMENTS (R881)</v>
          </cell>
        </row>
        <row r="54">
          <cell r="C54" t="str">
            <v>UNHONORED CHECKS</v>
          </cell>
        </row>
        <row r="55">
          <cell r="C55" t="str">
            <v>RECEIPT ADJUSTMENTS</v>
          </cell>
        </row>
        <row r="57">
          <cell r="B57" t="str">
            <v>INVESTMENT INCOME (R771)</v>
          </cell>
        </row>
        <row r="59">
          <cell r="B59" t="str">
            <v>OTHER REVENUE</v>
          </cell>
        </row>
        <row r="65">
          <cell r="B65" t="str">
            <v>CASH BALANCE JUNE 30, 2024</v>
          </cell>
        </row>
        <row r="67">
          <cell r="A67" t="str">
            <v>FIREFIGHTERS FOUNDATION FUND (1341-470-UNIT-PK00)</v>
          </cell>
        </row>
        <row r="74">
          <cell r="D74" t="str">
            <v>FIREFIGHTERS FUND</v>
          </cell>
        </row>
        <row r="75">
          <cell r="D75" t="str">
            <v>VOLUNTEER FIRE DEPT AID</v>
          </cell>
        </row>
        <row r="86">
          <cell r="B86" t="str">
            <v>EXPENDITURES (FIREFIGHTERS SUMMARY)</v>
          </cell>
        </row>
      </sheetData>
      <sheetData sheetId="22"/>
      <sheetData sheetId="23">
        <row r="4">
          <cell r="A4" t="str">
            <v>FOR THE PERIOD JULY 1, 2023 - FINAL Period 13, 2024</v>
          </cell>
        </row>
        <row r="11">
          <cell r="H11"/>
          <cell r="K11">
            <v>26939334.709999997</v>
          </cell>
        </row>
        <row r="14">
          <cell r="H14">
            <v>0</v>
          </cell>
          <cell r="K14">
            <v>145214927.51999998</v>
          </cell>
        </row>
        <row r="21">
          <cell r="H21">
            <v>0</v>
          </cell>
          <cell r="K21">
            <v>-208533.62</v>
          </cell>
        </row>
        <row r="25">
          <cell r="H25">
            <v>0</v>
          </cell>
          <cell r="K25">
            <v>0</v>
          </cell>
        </row>
        <row r="29">
          <cell r="H29">
            <v>0</v>
          </cell>
          <cell r="K29">
            <v>-89528.920000000042</v>
          </cell>
        </row>
        <row r="30">
          <cell r="H30">
            <v>0</v>
          </cell>
          <cell r="K30">
            <v>171856199.69</v>
          </cell>
        </row>
        <row r="46">
          <cell r="K46">
            <v>73871628.640000001</v>
          </cell>
        </row>
        <row r="48">
          <cell r="B48" t="str">
            <v>CASH BALANCE JUNE 30, 2024</v>
          </cell>
          <cell r="H48">
            <v>108271871.23</v>
          </cell>
        </row>
        <row r="51">
          <cell r="G51"/>
          <cell r="J51">
            <v>113267643.28999999</v>
          </cell>
        </row>
        <row r="52">
          <cell r="G52"/>
          <cell r="J52">
            <v>0</v>
          </cell>
        </row>
        <row r="53">
          <cell r="G53">
            <v>-109.62</v>
          </cell>
          <cell r="J53">
            <v>-162656.24</v>
          </cell>
        </row>
        <row r="54">
          <cell r="G54"/>
          <cell r="J54">
            <v>0</v>
          </cell>
        </row>
        <row r="55">
          <cell r="G55"/>
          <cell r="J55">
            <v>0</v>
          </cell>
        </row>
        <row r="56">
          <cell r="G56">
            <v>50.72</v>
          </cell>
          <cell r="J56">
            <v>642003.79999999993</v>
          </cell>
        </row>
        <row r="58">
          <cell r="H58"/>
          <cell r="K58">
            <v>4471782.5999999996</v>
          </cell>
        </row>
        <row r="60">
          <cell r="H60"/>
          <cell r="K60">
            <v>12931.36</v>
          </cell>
        </row>
        <row r="64">
          <cell r="H64">
            <v>384889.64999999106</v>
          </cell>
          <cell r="K64">
            <v>84216410.769999996</v>
          </cell>
        </row>
        <row r="66">
          <cell r="B66" t="str">
            <v>CASH BALANCE FINAL Period 13, 2024</v>
          </cell>
          <cell r="H66">
            <v>107886922.68000001</v>
          </cell>
          <cell r="K66">
            <v>107886922.68000002</v>
          </cell>
        </row>
        <row r="69">
          <cell r="K69">
            <v>38612985.210000001</v>
          </cell>
        </row>
        <row r="71">
          <cell r="H71">
            <v>49558609.639999986</v>
          </cell>
        </row>
        <row r="76">
          <cell r="G76">
            <v>0</v>
          </cell>
          <cell r="J76">
            <v>58886618.940000005</v>
          </cell>
        </row>
        <row r="77">
          <cell r="G77"/>
          <cell r="J77">
            <v>0</v>
          </cell>
        </row>
        <row r="78">
          <cell r="G78">
            <v>-30.92</v>
          </cell>
          <cell r="J78">
            <v>-45877.38</v>
          </cell>
        </row>
        <row r="79">
          <cell r="G79"/>
          <cell r="J79">
            <v>0</v>
          </cell>
        </row>
        <row r="80">
          <cell r="G80"/>
          <cell r="J80">
            <v>0</v>
          </cell>
        </row>
        <row r="81">
          <cell r="G81">
            <v>-50.72</v>
          </cell>
          <cell r="J81">
            <v>-731532.72</v>
          </cell>
        </row>
        <row r="83">
          <cell r="H83"/>
          <cell r="K83">
            <v>2006735.87</v>
          </cell>
        </row>
        <row r="85">
          <cell r="H85"/>
          <cell r="K85">
            <v>0</v>
          </cell>
        </row>
        <row r="87">
          <cell r="H87">
            <v>0</v>
          </cell>
          <cell r="K87">
            <v>49170401.920000002</v>
          </cell>
        </row>
        <row r="89">
          <cell r="H89">
            <v>49558527.999999985</v>
          </cell>
          <cell r="K89">
            <v>49558528.000000015</v>
          </cell>
        </row>
      </sheetData>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WKSHT"/>
      <sheetName val="MA"/>
    </sheetNames>
    <sheetDataSet>
      <sheetData sheetId="0" refreshError="1">
        <row r="4">
          <cell r="A4" t="str">
            <v>FOR THE PERIOD MAY 1, 2024 - MAY 31, 2024</v>
          </cell>
        </row>
        <row r="8">
          <cell r="A8" t="str">
            <v>DEPARTMENT OF REVENUE SURTAX RECEIPTS COLLECTED (14E6-130-D130-R000-R284, R285, R286)</v>
          </cell>
        </row>
        <row r="9">
          <cell r="B9" t="str">
            <v>GROSS RECEIPTS (REVENUE DISTRIBUTION)</v>
          </cell>
        </row>
        <row r="10">
          <cell r="C10" t="str">
            <v>VOLUNTEER FIRE DEPARTMENT AID</v>
          </cell>
        </row>
        <row r="11">
          <cell r="D11" t="str">
            <v>R284 Volunteer Fire Dept Aid Fund</v>
          </cell>
        </row>
        <row r="12">
          <cell r="C12" t="str">
            <v>LAW ENFORCEMENT AND FIREFIGHTERS FUND</v>
          </cell>
        </row>
        <row r="13">
          <cell r="D13" t="str">
            <v>R285 Law Enforcement Fund</v>
          </cell>
        </row>
        <row r="14">
          <cell r="D14" t="str">
            <v>R286 Firefighters Fund</v>
          </cell>
        </row>
        <row r="17">
          <cell r="B17" t="str">
            <v>OTHER DISTRIBUTIONS (review JVs other than Revenue Distribution)</v>
          </cell>
        </row>
        <row r="18">
          <cell r="C18" t="str">
            <v>REVENUE REFUNDS</v>
          </cell>
        </row>
        <row r="19">
          <cell r="D19" t="str">
            <v>R284</v>
          </cell>
        </row>
        <row r="20">
          <cell r="D20" t="str">
            <v>R285</v>
          </cell>
        </row>
        <row r="21">
          <cell r="D21" t="str">
            <v>R286</v>
          </cell>
        </row>
        <row r="22">
          <cell r="C22" t="str">
            <v>UNHONORED CHECKS</v>
          </cell>
        </row>
        <row r="23">
          <cell r="D23" t="str">
            <v>R284</v>
          </cell>
        </row>
        <row r="24">
          <cell r="D24" t="str">
            <v>R285</v>
          </cell>
        </row>
        <row r="25">
          <cell r="D25" t="str">
            <v>R286</v>
          </cell>
        </row>
        <row r="26">
          <cell r="C26" t="str">
            <v>RECEIPT ADJUSTMENTS</v>
          </cell>
        </row>
        <row r="27">
          <cell r="D27" t="str">
            <v>R284</v>
          </cell>
        </row>
        <row r="28">
          <cell r="D28" t="str">
            <v>R285</v>
          </cell>
        </row>
        <row r="29">
          <cell r="D29" t="str">
            <v>R286</v>
          </cell>
        </row>
        <row r="30">
          <cell r="D30" t="str">
            <v>NET RECEIPTS TO BE DISTRIBUTED</v>
          </cell>
        </row>
        <row r="32">
          <cell r="B32" t="str">
            <v>TOTAL</v>
          </cell>
        </row>
        <row r="33">
          <cell r="C33" t="str">
            <v>R284</v>
          </cell>
        </row>
        <row r="34">
          <cell r="C34" t="str">
            <v>R285</v>
          </cell>
        </row>
        <row r="35">
          <cell r="C35" t="str">
            <v>R286</v>
          </cell>
        </row>
        <row r="45">
          <cell r="A45" t="str">
            <v>LAW ENFORCEMENT FOUNDATION FUND (13DB-525-0000)</v>
          </cell>
        </row>
        <row r="46">
          <cell r="B46" t="str">
            <v>BALANCE FORWARDED FROM FISCAL YEAR 2023</v>
          </cell>
        </row>
        <row r="50">
          <cell r="B50" t="str">
            <v>REVENUE DISTRIBUTION INCOME (REVENUE DETAIL WORKSHEET):</v>
          </cell>
        </row>
        <row r="51">
          <cell r="C51" t="str">
            <v>REVENUE DISTRIBUTION (N114)</v>
          </cell>
        </row>
        <row r="52">
          <cell r="C52" t="str">
            <v>REVENUE REFUNDS:  PRIOR YEAR</v>
          </cell>
        </row>
        <row r="53">
          <cell r="C53" t="str">
            <v>REVENUE REFUNDS:  CURRENT YEAR</v>
          </cell>
        </row>
        <row r="54">
          <cell r="C54" t="str">
            <v>REFUND OF PRIOR YEAR DISBURSEMENTS (R881)</v>
          </cell>
        </row>
        <row r="55">
          <cell r="C55" t="str">
            <v>UNHONORED CHECKS</v>
          </cell>
        </row>
        <row r="56">
          <cell r="C56" t="str">
            <v>RECEIPT ADJUSTMENTS</v>
          </cell>
        </row>
        <row r="58">
          <cell r="B58" t="str">
            <v>INVESTMENT INCOME (R771)</v>
          </cell>
        </row>
        <row r="60">
          <cell r="B60" t="str">
            <v>OTHER REVENUE</v>
          </cell>
        </row>
        <row r="66">
          <cell r="B66" t="str">
            <v>CASH BALANCE MAY 31, 2024</v>
          </cell>
        </row>
        <row r="68">
          <cell r="A68" t="str">
            <v>FIREFIGHTERS FOUNDATION FUND (1341-470-UNIT-PK00)</v>
          </cell>
        </row>
        <row r="75">
          <cell r="D75" t="str">
            <v>FIREFIGHTERS FUND</v>
          </cell>
        </row>
        <row r="76">
          <cell r="D76" t="str">
            <v>VOLUNTEER FIRE DEPT AID</v>
          </cell>
        </row>
        <row r="87">
          <cell r="B87" t="str">
            <v>EXPENDITURES (FIREFIGHTERS SUMMARY)</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WKSHT"/>
      <sheetName val="MA"/>
    </sheetNames>
    <sheetDataSet>
      <sheetData sheetId="0">
        <row r="4">
          <cell r="A4" t="str">
            <v>FOR THE PERIOD MAY 1, 2024 - MAY 31, 2024</v>
          </cell>
        </row>
        <row r="11">
          <cell r="H11">
            <v>2353522.15</v>
          </cell>
          <cell r="K11">
            <v>24595945.839999996</v>
          </cell>
        </row>
        <row r="14">
          <cell r="H14">
            <v>13686202.210000001</v>
          </cell>
          <cell r="K14">
            <v>132435588.3</v>
          </cell>
        </row>
        <row r="21">
          <cell r="H21">
            <v>-14747.939999999999</v>
          </cell>
          <cell r="K21">
            <v>-208393.08</v>
          </cell>
        </row>
        <row r="25">
          <cell r="H25">
            <v>0</v>
          </cell>
          <cell r="K25">
            <v>0</v>
          </cell>
        </row>
        <row r="29">
          <cell r="H29">
            <v>-92129.3</v>
          </cell>
          <cell r="K29">
            <v>-89298.370000000083</v>
          </cell>
        </row>
        <row r="30">
          <cell r="H30">
            <v>15932847.120000001</v>
          </cell>
          <cell r="K30">
            <v>156733842.68999997</v>
          </cell>
        </row>
        <row r="46">
          <cell r="K46">
            <v>73871628.640000001</v>
          </cell>
        </row>
        <row r="48">
          <cell r="B48" t="str">
            <v>CASH BALANCE APRIL 30, 2024</v>
          </cell>
          <cell r="H48">
            <v>102069130.56</v>
          </cell>
        </row>
        <row r="51">
          <cell r="G51">
            <v>10675237.720000001</v>
          </cell>
          <cell r="J51">
            <v>103299758.69</v>
          </cell>
        </row>
        <row r="52">
          <cell r="J52">
            <v>0</v>
          </cell>
        </row>
        <row r="53">
          <cell r="G53">
            <v>-1728.66</v>
          </cell>
          <cell r="J53">
            <v>-151043.23000000001</v>
          </cell>
        </row>
        <row r="54">
          <cell r="J54">
            <v>0</v>
          </cell>
        </row>
        <row r="55">
          <cell r="J55">
            <v>0</v>
          </cell>
        </row>
        <row r="56">
          <cell r="J56">
            <v>642183.63</v>
          </cell>
        </row>
        <row r="58">
          <cell r="H58">
            <v>445037.29</v>
          </cell>
          <cell r="K58">
            <v>4045621.78</v>
          </cell>
        </row>
        <row r="60">
          <cell r="H60">
            <v>0</v>
          </cell>
          <cell r="K60">
            <v>12931.36</v>
          </cell>
        </row>
        <row r="64">
          <cell r="H64">
            <v>6775221.0300000012</v>
          </cell>
          <cell r="K64">
            <v>75308624.99000001</v>
          </cell>
        </row>
        <row r="66">
          <cell r="B66" t="str">
            <v>CASH BALANCE MAY 31, 2024</v>
          </cell>
          <cell r="H66">
            <v>106412455.88000001</v>
          </cell>
          <cell r="K66">
            <v>106412455.88</v>
          </cell>
        </row>
        <row r="69">
          <cell r="K69">
            <v>38612985.210000001</v>
          </cell>
        </row>
        <row r="71">
          <cell r="H71">
            <v>48392463.559999995</v>
          </cell>
        </row>
        <row r="76">
          <cell r="G76">
            <v>5364486.6400000006</v>
          </cell>
          <cell r="J76">
            <v>53731775.450000003</v>
          </cell>
        </row>
        <row r="77">
          <cell r="J77">
            <v>0</v>
          </cell>
        </row>
        <row r="78">
          <cell r="G78">
            <v>-487.56</v>
          </cell>
          <cell r="J78">
            <v>-42601.909999999996</v>
          </cell>
        </row>
        <row r="79">
          <cell r="J79">
            <v>0</v>
          </cell>
        </row>
        <row r="80">
          <cell r="J80">
            <v>0</v>
          </cell>
        </row>
        <row r="81">
          <cell r="G81">
            <v>-92129.3</v>
          </cell>
          <cell r="J81">
            <v>-731482</v>
          </cell>
        </row>
        <row r="83">
          <cell r="H83">
            <v>242422.48</v>
          </cell>
          <cell r="K83">
            <v>1797185.83</v>
          </cell>
        </row>
        <row r="85">
          <cell r="K85">
            <v>0</v>
          </cell>
        </row>
        <row r="87">
          <cell r="H87">
            <v>6453406.1200000048</v>
          </cell>
          <cell r="K87">
            <v>45914512.880000003</v>
          </cell>
        </row>
        <row r="89">
          <cell r="H89">
            <v>47453349.699999988</v>
          </cell>
          <cell r="K89">
            <v>47453349.699999996</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99"/>
  <sheetViews>
    <sheetView topLeftCell="A52" zoomScale="90" zoomScaleNormal="90" workbookViewId="0">
      <selection activeCell="K47" sqref="K47"/>
    </sheetView>
  </sheetViews>
  <sheetFormatPr defaultColWidth="9.140625" defaultRowHeight="12.75"/>
  <cols>
    <col min="1" max="4" width="3.7109375" style="82" customWidth="1"/>
    <col min="5" max="5" width="31.42578125" style="82" customWidth="1"/>
    <col min="6" max="7" width="14.7109375" style="8" customWidth="1"/>
    <col min="8" max="8" width="15.5703125" style="8" bestFit="1" customWidth="1"/>
    <col min="9" max="9" width="1.7109375" style="8" customWidth="1"/>
    <col min="10" max="10" width="14.7109375" style="8" customWidth="1"/>
    <col min="11" max="11" width="15.5703125" style="8" bestFit="1" customWidth="1"/>
    <col min="12" max="12" width="19.7109375" style="8" customWidth="1"/>
    <col min="13" max="13" width="9.140625" style="8"/>
    <col min="14" max="14" width="14" style="8" bestFit="1" customWidth="1"/>
    <col min="15" max="15" width="13.140625" style="8" bestFit="1" customWidth="1"/>
    <col min="16" max="16384" width="9.140625" style="8"/>
  </cols>
  <sheetData>
    <row r="1" spans="1:14" s="80" customFormat="1" ht="15">
      <c r="A1" s="58" t="s">
        <v>0</v>
      </c>
      <c r="B1" s="58"/>
      <c r="C1" s="58"/>
      <c r="D1" s="58"/>
      <c r="E1" s="58"/>
      <c r="F1" s="58"/>
      <c r="G1" s="58"/>
      <c r="H1" s="58"/>
      <c r="I1" s="58"/>
      <c r="J1" s="58"/>
      <c r="K1" s="58"/>
    </row>
    <row r="2" spans="1:14" s="80" customFormat="1" ht="15">
      <c r="A2" s="59" t="s">
        <v>1</v>
      </c>
      <c r="B2" s="58"/>
      <c r="C2" s="58"/>
      <c r="D2" s="58"/>
      <c r="E2" s="58"/>
      <c r="F2" s="58"/>
      <c r="G2" s="58"/>
      <c r="H2" s="58"/>
      <c r="I2" s="58"/>
      <c r="J2" s="58"/>
      <c r="K2" s="58"/>
    </row>
    <row r="3" spans="1:14" s="80" customFormat="1" ht="15">
      <c r="A3" s="58" t="s">
        <v>2</v>
      </c>
      <c r="B3" s="58"/>
      <c r="C3" s="58"/>
      <c r="D3" s="58"/>
      <c r="E3" s="58"/>
      <c r="F3" s="58"/>
      <c r="G3" s="58"/>
      <c r="H3" s="58"/>
      <c r="I3" s="58"/>
      <c r="J3" s="58"/>
      <c r="K3" s="58"/>
    </row>
    <row r="4" spans="1:14" s="80" customFormat="1" ht="15">
      <c r="A4" s="137" t="s">
        <v>80</v>
      </c>
      <c r="B4" s="142"/>
      <c r="C4" s="142"/>
      <c r="D4" s="142"/>
      <c r="E4" s="142"/>
      <c r="F4" s="142"/>
      <c r="G4" s="58"/>
      <c r="H4" s="58"/>
      <c r="I4" s="58"/>
      <c r="J4" s="58"/>
      <c r="K4" s="58"/>
    </row>
    <row r="5" spans="1:14" ht="4.9000000000000004" customHeight="1" thickBot="1">
      <c r="A5" s="81"/>
      <c r="B5" s="81"/>
      <c r="C5" s="81"/>
      <c r="D5" s="81"/>
      <c r="E5" s="81"/>
      <c r="F5" s="81"/>
      <c r="G5" s="81"/>
      <c r="H5" s="81"/>
      <c r="I5" s="81"/>
      <c r="J5" s="81"/>
      <c r="K5" s="81"/>
    </row>
    <row r="7" spans="1:14">
      <c r="B7" s="83"/>
      <c r="C7" s="83"/>
      <c r="D7" s="83"/>
      <c r="G7" s="84" t="s">
        <v>3</v>
      </c>
      <c r="H7" s="84"/>
      <c r="I7" s="85"/>
      <c r="J7" s="84" t="s">
        <v>4</v>
      </c>
      <c r="K7" s="86"/>
      <c r="L7" s="87" t="s">
        <v>5</v>
      </c>
    </row>
    <row r="8" spans="1:14">
      <c r="A8" s="70" t="s">
        <v>46</v>
      </c>
    </row>
    <row r="9" spans="1:14">
      <c r="B9" s="88" t="s">
        <v>6</v>
      </c>
      <c r="C9" s="88"/>
      <c r="E9" s="8"/>
    </row>
    <row r="10" spans="1:14">
      <c r="B10" s="88"/>
      <c r="C10" s="89" t="s">
        <v>7</v>
      </c>
      <c r="E10" s="8"/>
    </row>
    <row r="11" spans="1:14">
      <c r="D11" s="82" t="s">
        <v>41</v>
      </c>
      <c r="E11" s="8"/>
      <c r="H11" s="125">
        <v>2249367.17</v>
      </c>
      <c r="K11" s="90">
        <f>+H11</f>
        <v>2249367.17</v>
      </c>
    </row>
    <row r="12" spans="1:14">
      <c r="C12" s="82" t="s">
        <v>37</v>
      </c>
      <c r="E12" s="8"/>
      <c r="G12" s="90"/>
      <c r="J12" s="90"/>
    </row>
    <row r="13" spans="1:14">
      <c r="D13" s="82" t="s">
        <v>39</v>
      </c>
      <c r="E13" s="8"/>
      <c r="F13" s="90"/>
      <c r="G13" s="132">
        <v>9074611.4100000001</v>
      </c>
      <c r="J13" s="90">
        <f>+G13</f>
        <v>9074611.4100000001</v>
      </c>
    </row>
    <row r="14" spans="1:14">
      <c r="D14" s="82" t="s">
        <v>40</v>
      </c>
      <c r="E14" s="8"/>
      <c r="G14" s="130">
        <v>2559505.79</v>
      </c>
      <c r="H14" s="77">
        <f>SUM(G13:G14)</f>
        <v>11634117.199999999</v>
      </c>
      <c r="I14" s="90"/>
      <c r="J14" s="77">
        <f>+G14</f>
        <v>2559505.79</v>
      </c>
      <c r="K14" s="77">
        <f>SUM(J13:J14)</f>
        <v>11634117.199999999</v>
      </c>
    </row>
    <row r="15" spans="1:14">
      <c r="E15" s="8"/>
      <c r="G15" s="91"/>
      <c r="H15" s="90">
        <f>SUM(H11:H14)</f>
        <v>13883484.369999999</v>
      </c>
      <c r="I15" s="90"/>
      <c r="J15" s="36"/>
      <c r="K15" s="90">
        <f>SUM(K11:K14)</f>
        <v>13883484.369999999</v>
      </c>
      <c r="L15" s="264">
        <f>+J51+J76-K15</f>
        <v>-13883484.369999999</v>
      </c>
      <c r="M15" s="264" t="s">
        <v>81</v>
      </c>
      <c r="N15" s="278"/>
    </row>
    <row r="16" spans="1:14">
      <c r="E16" s="8"/>
      <c r="G16" s="91"/>
      <c r="H16" s="90"/>
      <c r="I16" s="90"/>
      <c r="J16" s="36"/>
      <c r="K16" s="90"/>
    </row>
    <row r="17" spans="2:13">
      <c r="B17" s="88" t="s">
        <v>11</v>
      </c>
      <c r="E17" s="8"/>
      <c r="G17" s="92"/>
      <c r="H17" s="90"/>
      <c r="I17" s="90"/>
      <c r="K17" s="90"/>
    </row>
    <row r="18" spans="2:13">
      <c r="B18" s="8"/>
      <c r="C18" s="88" t="s">
        <v>12</v>
      </c>
      <c r="D18" s="88"/>
      <c r="E18" s="8"/>
    </row>
    <row r="19" spans="2:13">
      <c r="B19" s="8"/>
      <c r="C19" s="88"/>
      <c r="D19" s="89" t="s">
        <v>8</v>
      </c>
      <c r="E19" s="8"/>
      <c r="G19" s="219"/>
      <c r="J19" s="90">
        <f>+G19</f>
        <v>0</v>
      </c>
    </row>
    <row r="20" spans="2:13">
      <c r="B20" s="8"/>
      <c r="C20" s="88"/>
      <c r="D20" s="89" t="s">
        <v>9</v>
      </c>
      <c r="E20" s="8"/>
      <c r="G20" s="219">
        <v>-423.31</v>
      </c>
      <c r="J20" s="8">
        <f>+G20</f>
        <v>-423.31</v>
      </c>
    </row>
    <row r="21" spans="2:13">
      <c r="B21" s="8"/>
      <c r="C21" s="88"/>
      <c r="D21" s="89" t="s">
        <v>10</v>
      </c>
      <c r="E21" s="8"/>
      <c r="G21" s="251">
        <v>-119.39</v>
      </c>
      <c r="H21" s="8">
        <f>SUM(G19:G21)</f>
        <v>-542.70000000000005</v>
      </c>
      <c r="J21" s="77">
        <f>+G21</f>
        <v>-119.39</v>
      </c>
      <c r="K21" s="8">
        <f>SUM(J19:J21)</f>
        <v>-542.70000000000005</v>
      </c>
      <c r="L21" s="8">
        <f>+J52+J53+J77+J78-K21</f>
        <v>542.70000000000005</v>
      </c>
      <c r="M21" s="127"/>
    </row>
    <row r="22" spans="2:13">
      <c r="B22" s="8"/>
      <c r="C22" s="82" t="s">
        <v>13</v>
      </c>
      <c r="E22" s="8"/>
      <c r="K22" s="94"/>
    </row>
    <row r="23" spans="2:13">
      <c r="B23" s="8"/>
      <c r="D23" s="89" t="s">
        <v>8</v>
      </c>
      <c r="E23" s="8"/>
      <c r="G23" s="125"/>
      <c r="J23" s="90">
        <f>+G23</f>
        <v>0</v>
      </c>
    </row>
    <row r="24" spans="2:13">
      <c r="B24" s="8"/>
      <c r="D24" s="89" t="s">
        <v>9</v>
      </c>
      <c r="E24" s="8"/>
      <c r="G24" s="126"/>
      <c r="J24" s="8">
        <f>+G24</f>
        <v>0</v>
      </c>
    </row>
    <row r="25" spans="2:13">
      <c r="B25" s="8"/>
      <c r="D25" s="89" t="s">
        <v>10</v>
      </c>
      <c r="E25" s="8"/>
      <c r="G25" s="124"/>
      <c r="H25" s="8">
        <f>SUM(G23:G25)</f>
        <v>0</v>
      </c>
      <c r="J25" s="77">
        <f>+G25</f>
        <v>0</v>
      </c>
      <c r="K25" s="8">
        <f>SUM(J23:J25)</f>
        <v>0</v>
      </c>
      <c r="L25" s="8">
        <f>+J55+J80-K25</f>
        <v>0</v>
      </c>
    </row>
    <row r="26" spans="2:13">
      <c r="B26" s="8"/>
      <c r="C26" s="82" t="s">
        <v>14</v>
      </c>
      <c r="E26" s="8"/>
    </row>
    <row r="27" spans="2:13">
      <c r="B27" s="8"/>
      <c r="D27" s="89" t="s">
        <v>8</v>
      </c>
      <c r="E27" s="8"/>
      <c r="G27" s="125">
        <v>-25.4</v>
      </c>
      <c r="J27" s="90">
        <f>+G27</f>
        <v>-25.4</v>
      </c>
    </row>
    <row r="28" spans="2:13">
      <c r="B28" s="8"/>
      <c r="D28" s="89" t="s">
        <v>9</v>
      </c>
      <c r="E28" s="8"/>
      <c r="G28" s="126"/>
      <c r="J28" s="8">
        <f>+G28</f>
        <v>0</v>
      </c>
    </row>
    <row r="29" spans="2:13">
      <c r="B29" s="8"/>
      <c r="D29" s="89" t="s">
        <v>10</v>
      </c>
      <c r="E29" s="8"/>
      <c r="G29" s="124"/>
      <c r="H29" s="77">
        <f>SUM(G27:G29)</f>
        <v>-25.4</v>
      </c>
      <c r="J29" s="77">
        <f>+G29</f>
        <v>0</v>
      </c>
      <c r="K29" s="77">
        <f>SUM(J27:J29)</f>
        <v>-25.4</v>
      </c>
      <c r="L29" s="8">
        <f>+J56+J81-K29</f>
        <v>25.4</v>
      </c>
    </row>
    <row r="30" spans="2:13" ht="13.5" thickBot="1">
      <c r="B30" s="8"/>
      <c r="D30" s="88" t="s">
        <v>15</v>
      </c>
      <c r="E30" s="8"/>
      <c r="H30" s="93">
        <f>SUM(H15:H29)</f>
        <v>13882916.27</v>
      </c>
      <c r="I30" s="91"/>
      <c r="K30" s="93">
        <f>SUM(K15:K29)</f>
        <v>13882916.27</v>
      </c>
    </row>
    <row r="32" spans="2:13">
      <c r="B32" s="82" t="s">
        <v>16</v>
      </c>
      <c r="D32" s="8"/>
    </row>
    <row r="33" spans="1:15">
      <c r="C33" s="82" t="s">
        <v>8</v>
      </c>
      <c r="D33" s="8"/>
      <c r="G33" s="90">
        <f>+G27+G23+G19+H11</f>
        <v>2249341.77</v>
      </c>
      <c r="J33" s="90">
        <f>+J27+J23+J19+K11</f>
        <v>2249341.77</v>
      </c>
    </row>
    <row r="34" spans="1:15">
      <c r="C34" s="82" t="s">
        <v>9</v>
      </c>
      <c r="D34" s="8"/>
      <c r="G34" s="8">
        <f>+G28+G24+G20+G13</f>
        <v>9074188.0999999996</v>
      </c>
      <c r="J34" s="8">
        <f>+J28+J24+J20+J13</f>
        <v>9074188.0999999996</v>
      </c>
    </row>
    <row r="35" spans="1:15">
      <c r="C35" s="82" t="s">
        <v>10</v>
      </c>
      <c r="D35" s="8"/>
      <c r="G35" s="77">
        <f>+G29+G25+G21+G14</f>
        <v>2559386.4</v>
      </c>
      <c r="H35" s="90">
        <f>SUM(G33:G35)</f>
        <v>13882916.27</v>
      </c>
      <c r="J35" s="77">
        <f>+J29+J25+J21+J14</f>
        <v>2559386.4</v>
      </c>
      <c r="K35" s="90">
        <f>SUM(J33:J35)</f>
        <v>13882916.27</v>
      </c>
    </row>
    <row r="36" spans="1:15">
      <c r="H36" s="112"/>
      <c r="I36" s="112"/>
      <c r="J36" s="112"/>
      <c r="M36" s="177"/>
      <c r="O36" s="177"/>
    </row>
    <row r="37" spans="1:15" ht="15">
      <c r="C37" s="257" t="s">
        <v>60</v>
      </c>
      <c r="D37" s="218"/>
      <c r="E37" s="218"/>
      <c r="F37" s="219"/>
      <c r="G37" s="302" t="s">
        <v>78</v>
      </c>
      <c r="H37" s="302"/>
      <c r="I37" s="300"/>
      <c r="J37" s="301"/>
      <c r="K37" s="279"/>
      <c r="L37" s="279"/>
    </row>
    <row r="38" spans="1:15">
      <c r="C38" s="218"/>
      <c r="D38" s="220"/>
      <c r="E38" s="218" t="s">
        <v>59</v>
      </c>
      <c r="F38" s="219"/>
      <c r="G38" s="219"/>
      <c r="H38" s="260">
        <f>G39+G40+G41</f>
        <v>542.70000000000005</v>
      </c>
      <c r="I38" s="219"/>
      <c r="J38" s="280"/>
      <c r="K38" s="157"/>
      <c r="L38" s="112"/>
    </row>
    <row r="39" spans="1:15">
      <c r="C39" s="218"/>
      <c r="D39" s="218"/>
      <c r="E39" s="218" t="s">
        <v>66</v>
      </c>
      <c r="F39" s="221"/>
      <c r="G39" s="215">
        <f>-G19</f>
        <v>0</v>
      </c>
      <c r="H39" s="219"/>
      <c r="I39" s="219"/>
      <c r="J39" s="219"/>
    </row>
    <row r="40" spans="1:15">
      <c r="C40" s="218"/>
      <c r="D40" s="218"/>
      <c r="E40" s="220" t="s">
        <v>65</v>
      </c>
      <c r="F40" s="221"/>
      <c r="G40" s="215">
        <f>-G20</f>
        <v>423.31</v>
      </c>
      <c r="H40" s="219"/>
      <c r="I40" s="219"/>
      <c r="J40" s="219"/>
    </row>
    <row r="41" spans="1:15">
      <c r="C41" s="218"/>
      <c r="D41" s="218"/>
      <c r="E41" s="220" t="s">
        <v>66</v>
      </c>
      <c r="F41" s="219"/>
      <c r="G41" s="219">
        <f>-G21</f>
        <v>119.39</v>
      </c>
      <c r="H41" s="219"/>
      <c r="I41" s="219"/>
      <c r="J41" s="219"/>
    </row>
    <row r="42" spans="1:15">
      <c r="C42" s="259" t="s">
        <v>72</v>
      </c>
      <c r="D42" s="218"/>
      <c r="E42" s="220"/>
      <c r="F42" s="219"/>
      <c r="G42" s="219"/>
      <c r="H42" s="219"/>
      <c r="I42" s="219"/>
      <c r="J42" s="219"/>
    </row>
    <row r="43" spans="1:15">
      <c r="C43" s="218"/>
      <c r="D43" s="218"/>
      <c r="E43" s="220"/>
      <c r="F43" s="219"/>
      <c r="G43" s="222"/>
      <c r="H43" s="222"/>
      <c r="I43" s="222"/>
      <c r="J43" s="219"/>
    </row>
    <row r="44" spans="1:15" s="112" customFormat="1">
      <c r="A44" s="159"/>
      <c r="B44" s="159"/>
      <c r="C44" s="159"/>
      <c r="D44" s="159"/>
      <c r="E44" s="266"/>
    </row>
    <row r="45" spans="1:15">
      <c r="A45" s="70" t="s">
        <v>47</v>
      </c>
    </row>
    <row r="46" spans="1:15">
      <c r="A46" s="70"/>
      <c r="B46" s="136" t="s">
        <v>77</v>
      </c>
      <c r="C46" s="136"/>
      <c r="D46" s="136"/>
      <c r="E46" s="136"/>
      <c r="F46" s="126"/>
      <c r="K46" s="90">
        <f>H48</f>
        <v>73871638.640000001</v>
      </c>
      <c r="L46" s="36"/>
    </row>
    <row r="47" spans="1:15">
      <c r="A47" s="70"/>
      <c r="K47" s="90"/>
      <c r="L47" s="36"/>
    </row>
    <row r="48" spans="1:15">
      <c r="B48" s="135" t="s">
        <v>76</v>
      </c>
      <c r="C48" s="136"/>
      <c r="D48" s="136"/>
      <c r="E48" s="136"/>
      <c r="H48" s="271">
        <v>73871638.640000001</v>
      </c>
      <c r="I48" s="90"/>
      <c r="L48" s="36"/>
    </row>
    <row r="49" spans="2:13">
      <c r="B49" s="88"/>
      <c r="H49" s="90"/>
      <c r="I49" s="90"/>
      <c r="L49" s="36"/>
    </row>
    <row r="50" spans="2:13">
      <c r="B50" s="89" t="s">
        <v>36</v>
      </c>
      <c r="H50" s="67" t="s">
        <v>63</v>
      </c>
      <c r="K50" s="67" t="s">
        <v>63</v>
      </c>
      <c r="L50" s="243"/>
    </row>
    <row r="51" spans="2:13">
      <c r="C51" s="88" t="s">
        <v>31</v>
      </c>
      <c r="G51" s="158"/>
      <c r="H51" s="66">
        <f>+H14*0.78</f>
        <v>9074611.4159999993</v>
      </c>
      <c r="J51" s="90">
        <f t="shared" ref="J51:J56" si="0">+G51</f>
        <v>0</v>
      </c>
      <c r="K51" s="66">
        <f>+K14*0.78</f>
        <v>9074611.4159999993</v>
      </c>
      <c r="L51" s="195"/>
    </row>
    <row r="52" spans="2:13">
      <c r="C52" s="88" t="s">
        <v>17</v>
      </c>
      <c r="G52" s="126"/>
      <c r="J52" s="8">
        <f t="shared" si="0"/>
        <v>0</v>
      </c>
      <c r="L52" s="145"/>
    </row>
    <row r="53" spans="2:13">
      <c r="C53" s="82" t="s">
        <v>18</v>
      </c>
      <c r="G53" s="126"/>
      <c r="J53" s="8">
        <f t="shared" si="0"/>
        <v>0</v>
      </c>
      <c r="L53" s="146"/>
    </row>
    <row r="54" spans="2:13">
      <c r="C54" s="88" t="s">
        <v>19</v>
      </c>
      <c r="G54" s="126"/>
      <c r="J54" s="8">
        <f t="shared" si="0"/>
        <v>0</v>
      </c>
      <c r="L54" s="146"/>
    </row>
    <row r="55" spans="2:13">
      <c r="C55" s="82" t="s">
        <v>13</v>
      </c>
      <c r="G55" s="126"/>
      <c r="J55" s="8">
        <f t="shared" si="0"/>
        <v>0</v>
      </c>
      <c r="L55" s="146"/>
    </row>
    <row r="56" spans="2:13">
      <c r="C56" s="82" t="s">
        <v>14</v>
      </c>
      <c r="G56" s="126"/>
      <c r="H56" s="8">
        <f>SUM(G51:G56)</f>
        <v>0</v>
      </c>
      <c r="J56" s="77">
        <f t="shared" si="0"/>
        <v>0</v>
      </c>
      <c r="K56" s="8">
        <f>SUM(J51:J56)</f>
        <v>0</v>
      </c>
      <c r="L56" s="146"/>
    </row>
    <row r="57" spans="2:13">
      <c r="L57" s="147" t="s">
        <v>50</v>
      </c>
    </row>
    <row r="58" spans="2:13">
      <c r="B58" s="88" t="s">
        <v>20</v>
      </c>
      <c r="C58" s="8"/>
      <c r="H58" s="219">
        <v>282998.34000000003</v>
      </c>
      <c r="K58" s="8">
        <f>+H58</f>
        <v>282998.34000000003</v>
      </c>
      <c r="L58" s="148">
        <v>-5948653.8600000003</v>
      </c>
    </row>
    <row r="59" spans="2:13">
      <c r="L59" s="141" t="s">
        <v>54</v>
      </c>
    </row>
    <row r="60" spans="2:13" ht="16.5" customHeight="1">
      <c r="B60" s="82" t="s">
        <v>21</v>
      </c>
      <c r="H60" s="126"/>
      <c r="K60" s="8">
        <f>+H60</f>
        <v>0</v>
      </c>
      <c r="L60" s="141">
        <f>+K46</f>
        <v>73871638.640000001</v>
      </c>
      <c r="M60" s="155"/>
    </row>
    <row r="61" spans="2:13">
      <c r="L61" s="141" t="s">
        <v>55</v>
      </c>
    </row>
    <row r="62" spans="2:13">
      <c r="B62" s="88" t="s">
        <v>48</v>
      </c>
      <c r="L62" s="141">
        <f>+J64</f>
        <v>-142455.63</v>
      </c>
    </row>
    <row r="63" spans="2:13">
      <c r="B63" s="88"/>
      <c r="C63" s="82" t="s">
        <v>51</v>
      </c>
      <c r="G63" s="151"/>
      <c r="J63" s="187">
        <v>6231652.2000000002</v>
      </c>
      <c r="L63" s="173"/>
    </row>
    <row r="64" spans="2:13">
      <c r="B64" s="88"/>
      <c r="C64" s="82" t="s">
        <v>52</v>
      </c>
      <c r="G64" s="151"/>
      <c r="H64" s="77">
        <f>+K64</f>
        <v>6089196.5700000003</v>
      </c>
      <c r="J64" s="249">
        <v>-142455.63</v>
      </c>
      <c r="K64" s="152">
        <f>SUM(J63:J64)</f>
        <v>6089196.5700000003</v>
      </c>
      <c r="L64" s="141"/>
    </row>
    <row r="65" spans="1:14">
      <c r="H65" s="36"/>
      <c r="K65" s="151"/>
      <c r="L65" s="141" t="s">
        <v>53</v>
      </c>
      <c r="N65" s="177" t="s">
        <v>70</v>
      </c>
    </row>
    <row r="66" spans="1:14" ht="13.5" thickBot="1">
      <c r="B66" s="135" t="s">
        <v>79</v>
      </c>
      <c r="C66" s="136"/>
      <c r="D66" s="136"/>
      <c r="E66" s="136"/>
      <c r="H66" s="95">
        <f>+H48+H56+H58+H60-H64</f>
        <v>68065440.409999996</v>
      </c>
      <c r="K66" s="95">
        <f>+K46+K56+K58+K60-K64</f>
        <v>68065440.409999996</v>
      </c>
      <c r="L66" s="140">
        <f>+L58+L60-L62-L64</f>
        <v>68065440.409999996</v>
      </c>
      <c r="N66" s="8">
        <f>L66-K66</f>
        <v>0</v>
      </c>
    </row>
    <row r="67" spans="1:14">
      <c r="J67" s="177" t="s">
        <v>58</v>
      </c>
    </row>
    <row r="68" spans="1:14">
      <c r="A68" s="71" t="s">
        <v>45</v>
      </c>
    </row>
    <row r="69" spans="1:14">
      <c r="A69" s="70"/>
      <c r="B69" s="82" t="str">
        <f>+B46</f>
        <v>BALANCE FORWARDED FROM FISCAL YEAR 2023</v>
      </c>
      <c r="K69" s="90">
        <f>+H71</f>
        <v>38612985.210000001</v>
      </c>
    </row>
    <row r="70" spans="1:14">
      <c r="A70" s="70"/>
      <c r="K70" s="90"/>
    </row>
    <row r="71" spans="1:14">
      <c r="B71" s="88" t="str">
        <f>+B48</f>
        <v>CASH BALANCE JUNE 30, 2023</v>
      </c>
      <c r="H71" s="271">
        <v>38612985.210000001</v>
      </c>
      <c r="I71" s="90"/>
    </row>
    <row r="72" spans="1:14">
      <c r="B72" s="88"/>
      <c r="H72" s="90"/>
      <c r="I72" s="90"/>
    </row>
    <row r="73" spans="1:14">
      <c r="B73" s="89" t="str">
        <f>+B50</f>
        <v>REVENUE DISTRIBUTION INCOME (REVENUE DETAIL WORKSHEET):</v>
      </c>
    </row>
    <row r="74" spans="1:14">
      <c r="C74" s="88" t="str">
        <f>+C51</f>
        <v>REVENUE DISTRIBUTION (N114)</v>
      </c>
      <c r="H74" s="258" t="s">
        <v>68</v>
      </c>
      <c r="K74" s="258" t="s">
        <v>68</v>
      </c>
    </row>
    <row r="75" spans="1:14">
      <c r="C75" s="88"/>
      <c r="D75" s="6" t="s">
        <v>34</v>
      </c>
      <c r="F75" s="132"/>
      <c r="G75" s="90"/>
      <c r="H75" s="66">
        <f>+H14*0.22</f>
        <v>2559505.784</v>
      </c>
      <c r="I75" s="66">
        <f>+I14*0.28</f>
        <v>0</v>
      </c>
      <c r="J75" s="66"/>
      <c r="K75" s="66">
        <f>+K14*0.22</f>
        <v>2559505.784</v>
      </c>
      <c r="L75" s="250" t="s">
        <v>43</v>
      </c>
    </row>
    <row r="76" spans="1:14">
      <c r="C76" s="88"/>
      <c r="D76" s="10" t="s">
        <v>35</v>
      </c>
      <c r="F76" s="130"/>
      <c r="G76" s="90">
        <f>SUM(F75:F76)</f>
        <v>0</v>
      </c>
      <c r="J76" s="90">
        <f t="shared" ref="J76:J81" si="1">+G76</f>
        <v>0</v>
      </c>
      <c r="L76" s="235">
        <f>+K11+J14</f>
        <v>4808872.96</v>
      </c>
    </row>
    <row r="77" spans="1:14">
      <c r="C77" s="88" t="str">
        <f>+C52</f>
        <v>REVENUE REFUNDS:  PRIOR YEAR</v>
      </c>
      <c r="G77" s="126"/>
      <c r="J77" s="8">
        <f t="shared" si="1"/>
        <v>0</v>
      </c>
      <c r="L77" s="240" t="s">
        <v>44</v>
      </c>
    </row>
    <row r="78" spans="1:14">
      <c r="C78" s="82" t="str">
        <f>+C53</f>
        <v>REVENUE REFUNDS:  CURRENT YEAR</v>
      </c>
      <c r="G78" s="126"/>
      <c r="J78" s="8">
        <f t="shared" si="1"/>
        <v>0</v>
      </c>
      <c r="L78" s="236">
        <f>+L76-J76</f>
        <v>4808872.96</v>
      </c>
    </row>
    <row r="79" spans="1:14">
      <c r="C79" s="88" t="str">
        <f>+C54</f>
        <v>REFUND OF PRIOR YEAR DISBURSEMENTS (R881)</v>
      </c>
      <c r="G79" s="219"/>
      <c r="J79" s="8">
        <f t="shared" si="1"/>
        <v>0</v>
      </c>
    </row>
    <row r="80" spans="1:14">
      <c r="C80" s="82" t="str">
        <f>+C55</f>
        <v>UNHONORED CHECKS</v>
      </c>
      <c r="G80" s="126"/>
      <c r="J80" s="8">
        <f t="shared" si="1"/>
        <v>0</v>
      </c>
    </row>
    <row r="81" spans="1:15">
      <c r="C81" s="82" t="str">
        <f>+C56</f>
        <v>RECEIPT ADJUSTMENTS</v>
      </c>
      <c r="G81" s="124"/>
      <c r="H81" s="8">
        <f>SUM(G75:G81)</f>
        <v>0</v>
      </c>
      <c r="J81" s="77">
        <f t="shared" si="1"/>
        <v>0</v>
      </c>
      <c r="K81" s="8">
        <f>SUM(J76:J81)</f>
        <v>0</v>
      </c>
    </row>
    <row r="83" spans="1:15">
      <c r="B83" s="88" t="str">
        <f>+B58</f>
        <v>INVESTMENT INCOME (R771)</v>
      </c>
      <c r="C83" s="8"/>
      <c r="H83" s="219">
        <v>147102.98000000001</v>
      </c>
      <c r="K83" s="8">
        <f>+H83</f>
        <v>147102.98000000001</v>
      </c>
    </row>
    <row r="84" spans="1:15">
      <c r="L84" s="147" t="s">
        <v>50</v>
      </c>
    </row>
    <row r="85" spans="1:15">
      <c r="B85" s="88" t="str">
        <f>+B60</f>
        <v>OTHER REVENUE</v>
      </c>
      <c r="C85" s="8"/>
      <c r="H85" s="219"/>
      <c r="K85" s="8">
        <f>+H85</f>
        <v>0</v>
      </c>
      <c r="L85" s="263">
        <v>-3427222.92</v>
      </c>
    </row>
    <row r="86" spans="1:15">
      <c r="L86" s="141" t="s">
        <v>54</v>
      </c>
    </row>
    <row r="87" spans="1:15">
      <c r="B87" s="89" t="s">
        <v>49</v>
      </c>
      <c r="H87" s="152">
        <f>+K87</f>
        <v>3574325.9</v>
      </c>
      <c r="K87" s="205">
        <v>3574325.9</v>
      </c>
      <c r="L87" s="141">
        <f>+K69</f>
        <v>38612985.210000001</v>
      </c>
    </row>
    <row r="88" spans="1:15">
      <c r="L88" s="141" t="s">
        <v>53</v>
      </c>
      <c r="N88" s="177" t="s">
        <v>70</v>
      </c>
    </row>
    <row r="89" spans="1:15" ht="13.5" thickBot="1">
      <c r="B89" s="82" t="str">
        <f>+B66</f>
        <v>CASH BALANCE at the end of Accounting Period 1</v>
      </c>
      <c r="H89" s="95">
        <f>+H71+H81+H83+H85-H87</f>
        <v>35185762.289999999</v>
      </c>
      <c r="K89" s="95">
        <f>+K69+K81+K83+K85-K87</f>
        <v>35185762.289999999</v>
      </c>
      <c r="L89" s="140">
        <f>+L85+L87</f>
        <v>35185762.289999999</v>
      </c>
      <c r="N89" s="8">
        <f>L89-K89</f>
        <v>0</v>
      </c>
    </row>
    <row r="90" spans="1:15">
      <c r="G90" s="94"/>
    </row>
    <row r="92" spans="1:15">
      <c r="A92" s="82" t="s">
        <v>71</v>
      </c>
    </row>
    <row r="93" spans="1:15" ht="28.5" customHeight="1">
      <c r="A93" s="159"/>
      <c r="B93" s="159"/>
      <c r="C93" s="399" t="s">
        <v>84</v>
      </c>
      <c r="D93" s="399"/>
      <c r="E93" s="399"/>
      <c r="F93" s="399"/>
      <c r="G93" s="399"/>
      <c r="H93" s="399"/>
      <c r="I93" s="399"/>
      <c r="J93" s="399"/>
      <c r="K93" s="399"/>
      <c r="L93" s="399"/>
      <c r="M93" s="399"/>
      <c r="N93" s="399"/>
      <c r="O93" s="112"/>
    </row>
    <row r="94" spans="1:15" s="112" customFormat="1" ht="14.45" customHeight="1">
      <c r="A94" s="159"/>
      <c r="B94" s="159"/>
      <c r="C94" s="303"/>
      <c r="D94" s="303"/>
      <c r="E94" s="303"/>
      <c r="F94" s="303"/>
      <c r="G94" s="303"/>
      <c r="H94" s="303"/>
      <c r="I94" s="303"/>
      <c r="J94" s="303"/>
      <c r="K94" s="303"/>
      <c r="L94" s="303"/>
      <c r="M94" s="303"/>
      <c r="N94" s="303"/>
    </row>
    <row r="95" spans="1:15">
      <c r="C95" s="400" t="s">
        <v>82</v>
      </c>
      <c r="D95" s="400"/>
      <c r="E95" s="400"/>
      <c r="F95" s="400"/>
      <c r="G95" s="400"/>
      <c r="H95" s="400"/>
      <c r="I95" s="400"/>
      <c r="J95" s="400"/>
      <c r="K95" s="400"/>
      <c r="L95" s="400"/>
      <c r="M95" s="400"/>
      <c r="N95" s="400"/>
    </row>
    <row r="96" spans="1:15" ht="12.95" customHeight="1">
      <c r="C96" s="400" t="s">
        <v>83</v>
      </c>
      <c r="D96" s="400"/>
      <c r="E96" s="400"/>
      <c r="F96" s="400"/>
      <c r="G96" s="400"/>
      <c r="H96" s="400"/>
      <c r="I96" s="400"/>
      <c r="J96" s="400"/>
      <c r="K96" s="400"/>
      <c r="L96" s="400"/>
      <c r="M96" s="400"/>
      <c r="N96" s="400"/>
    </row>
    <row r="97" spans="3:12">
      <c r="C97" s="281"/>
      <c r="D97" s="281"/>
      <c r="E97" s="281"/>
      <c r="F97" s="281"/>
      <c r="G97" s="281"/>
      <c r="H97" s="281"/>
      <c r="I97" s="281"/>
      <c r="J97" s="281"/>
      <c r="K97" s="281"/>
      <c r="L97" s="281"/>
    </row>
    <row r="98" spans="3:12">
      <c r="C98" s="281"/>
      <c r="D98" s="281"/>
      <c r="E98" s="281"/>
      <c r="F98" s="281"/>
      <c r="G98" s="281"/>
      <c r="H98" s="281"/>
      <c r="I98" s="281"/>
      <c r="J98" s="281"/>
      <c r="K98" s="281"/>
      <c r="L98" s="281"/>
    </row>
    <row r="99" spans="3:12">
      <c r="C99" s="281"/>
      <c r="D99" s="281"/>
      <c r="E99" s="281"/>
      <c r="F99" s="281"/>
      <c r="G99" s="281"/>
      <c r="H99" s="281"/>
      <c r="I99" s="281"/>
      <c r="J99" s="281"/>
      <c r="K99" s="281"/>
      <c r="L99" s="281"/>
    </row>
  </sheetData>
  <mergeCells count="3">
    <mergeCell ref="C93:N93"/>
    <mergeCell ref="C95:N95"/>
    <mergeCell ref="C96:N96"/>
  </mergeCells>
  <phoneticPr fontId="12" type="noConversion"/>
  <printOptions horizontalCentered="1" verticalCentered="1"/>
  <pageMargins left="0" right="0" top="0" bottom="0" header="0" footer="0"/>
  <pageSetup scale="64" orientation="portrait" horizontalDpi="300" verticalDpi="300" r:id="rId1"/>
  <headerFooter alignWithMargins="0">
    <oddHeader>&amp;R&amp;F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65"/>
  <sheetViews>
    <sheetView topLeftCell="A28" workbookViewId="0">
      <selection activeCell="R21" sqref="R21"/>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3" width="14.7109375" style="2" customWidth="1"/>
    <col min="14" max="14" width="1.7109375" style="2" customWidth="1"/>
    <col min="15" max="15" width="13.7109375" style="2"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+'NOV WKSHT'!A4</f>
        <v>FOR THE PERIOD NOVEMBER 1, 2022- NOVEMBER 30, 2023</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64"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+'NOV WKSHT'!H11</f>
        <v>2138993.56</v>
      </c>
      <c r="I11" s="13"/>
      <c r="J11" s="34"/>
      <c r="K11" s="42"/>
      <c r="L11" s="13">
        <f>+'NOV WKSHT'!K11</f>
        <v>11088642.220000001</v>
      </c>
      <c r="M11" s="13"/>
      <c r="N11" s="34"/>
    </row>
    <row r="12" spans="1:15">
      <c r="A12" s="53"/>
      <c r="B12" s="31"/>
      <c r="C12" s="31" t="str">
        <f>+JUL!C12</f>
        <v>LAW ENFORCEMENT AND FIREFIGHTERS FUND</v>
      </c>
      <c r="D12" s="32"/>
      <c r="E12" s="33"/>
      <c r="F12" s="35"/>
      <c r="G12" s="42"/>
      <c r="H12" s="11">
        <f>+'NOV WKSHT'!H14</f>
        <v>12438406.360000001</v>
      </c>
      <c r="I12" s="13">
        <f>SUM(H11:H12)</f>
        <v>14577399.920000002</v>
      </c>
      <c r="J12" s="34"/>
      <c r="K12" s="42"/>
      <c r="L12" s="11">
        <f>+'NOV WKSHT'!K14</f>
        <v>60490473.929999992</v>
      </c>
      <c r="M12" s="13">
        <f>SUM(L11:L12)</f>
        <v>71579116.149999991</v>
      </c>
      <c r="N12" s="34"/>
    </row>
    <row r="13" spans="1:15">
      <c r="A13" s="53"/>
      <c r="B13" s="31" t="str">
        <f>+JUL!B13</f>
        <v>REVENUE REFUNDS</v>
      </c>
      <c r="C13" s="33"/>
      <c r="D13" s="31"/>
      <c r="E13" s="33"/>
      <c r="F13" s="35"/>
      <c r="G13" s="42"/>
      <c r="H13" s="16"/>
      <c r="I13" s="16">
        <f>+'NOV WKSHT'!H21</f>
        <v>-916.64</v>
      </c>
      <c r="J13" s="35"/>
      <c r="K13" s="42"/>
      <c r="L13" s="16"/>
      <c r="M13" s="16">
        <f>+'NOV WKSHT'!K21</f>
        <v>-9981.01</v>
      </c>
      <c r="N13" s="35"/>
    </row>
    <row r="14" spans="1:15">
      <c r="A14" s="30"/>
      <c r="B14" s="31" t="str">
        <f>+JUL!B14</f>
        <v>UNHONORED CHECKS</v>
      </c>
      <c r="C14" s="33"/>
      <c r="D14" s="32"/>
      <c r="E14" s="33"/>
      <c r="F14" s="35"/>
      <c r="G14" s="42"/>
      <c r="H14" s="16"/>
      <c r="I14" s="16">
        <f>+'NOV WKSHT'!H25</f>
        <v>0</v>
      </c>
      <c r="J14" s="35"/>
      <c r="K14" s="42"/>
      <c r="L14" s="16"/>
      <c r="M14" s="16">
        <f>+'NOV WKSHT'!K25</f>
        <v>0</v>
      </c>
      <c r="N14" s="35"/>
    </row>
    <row r="15" spans="1:15">
      <c r="A15" s="30"/>
      <c r="B15" s="31" t="str">
        <f>+JUL!B15</f>
        <v>RECEIPT ADJUSTMENTS</v>
      </c>
      <c r="C15" s="33"/>
      <c r="D15" s="32"/>
      <c r="E15" s="33"/>
      <c r="F15" s="35"/>
      <c r="G15" s="42"/>
      <c r="H15" s="16"/>
      <c r="I15" s="36">
        <f>+'NOV WKSHT'!H29</f>
        <v>39998.120000000024</v>
      </c>
      <c r="J15" s="37"/>
      <c r="K15" s="42"/>
      <c r="L15" s="16"/>
      <c r="M15" s="36">
        <f>+'NOV WKSHT'!K29</f>
        <v>-26950.50999999998</v>
      </c>
      <c r="N15" s="37"/>
    </row>
    <row r="16" spans="1:15" ht="13.5" thickBot="1">
      <c r="A16" s="50"/>
      <c r="B16" s="33"/>
      <c r="C16" s="31" t="str">
        <f>+JUL!C16</f>
        <v>NET RECEIPTS TO BE DISTRIBUTED</v>
      </c>
      <c r="D16" s="33"/>
      <c r="E16" s="33"/>
      <c r="F16" s="35"/>
      <c r="G16" s="42"/>
      <c r="H16" s="16"/>
      <c r="I16" s="22">
        <f>SUM(I10:I15)</f>
        <v>14616481.4</v>
      </c>
      <c r="J16" s="56"/>
      <c r="K16" s="42"/>
      <c r="L16" s="16"/>
      <c r="M16" s="22">
        <f>SUM(M10:M15)</f>
        <v>71542184.62999998</v>
      </c>
      <c r="N16" s="56"/>
      <c r="O16" s="2">
        <f>+I16-'NOV WKSHT'!H30</f>
        <v>0</v>
      </c>
    </row>
    <row r="17" spans="1:15" ht="13.5" thickBot="1">
      <c r="A17" s="38"/>
      <c r="B17" s="39"/>
      <c r="C17" s="39"/>
      <c r="D17" s="39"/>
      <c r="E17" s="39"/>
      <c r="F17" s="40"/>
      <c r="G17" s="43"/>
      <c r="H17" s="14"/>
      <c r="I17" s="14"/>
      <c r="J17" s="40"/>
      <c r="K17" s="43"/>
      <c r="L17" s="14"/>
      <c r="M17" s="14"/>
      <c r="N17" s="40"/>
      <c r="O17" s="2">
        <f>+M16-'NOV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+'NOV WKSHT'!K46</f>
        <v>73871638.640000001</v>
      </c>
      <c r="N22" s="35"/>
    </row>
    <row r="23" spans="1:15">
      <c r="A23" s="49"/>
      <c r="B23" s="44"/>
      <c r="C23" s="32"/>
      <c r="D23" s="32"/>
      <c r="E23" s="32"/>
      <c r="F23" s="35"/>
      <c r="G23" s="42"/>
      <c r="H23" s="16"/>
      <c r="I23" s="16"/>
      <c r="J23" s="35"/>
      <c r="K23" s="42"/>
      <c r="L23" s="16"/>
      <c r="M23" s="16"/>
      <c r="N23" s="35"/>
    </row>
    <row r="24" spans="1:15">
      <c r="A24" s="53"/>
      <c r="B24" s="31" t="str">
        <f>+'NOV WKSHT'!B48</f>
        <v>CASH BALANCE OCTOBER 31, 2023</v>
      </c>
      <c r="C24" s="33"/>
      <c r="D24" s="32"/>
      <c r="E24" s="32"/>
      <c r="F24" s="35"/>
      <c r="G24" s="42"/>
      <c r="H24" s="16"/>
      <c r="I24" s="20">
        <f>+'NOV WKSHT'!H48</f>
        <v>83428721.400000006</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+'NOV WKSHT'!G51</f>
        <v>10778884.66</v>
      </c>
      <c r="I27" s="33"/>
      <c r="J27" s="57"/>
      <c r="K27" s="42"/>
      <c r="L27" s="20">
        <f>+'NOV WKSHT'!J51</f>
        <v>47182569.629999995</v>
      </c>
      <c r="M27" s="33"/>
      <c r="N27" s="57"/>
    </row>
    <row r="28" spans="1:15">
      <c r="A28" s="30"/>
      <c r="B28" s="32"/>
      <c r="C28" s="31" t="str">
        <f>+JUL!C28</f>
        <v>REVENUE REFUNDS:  PRIOR YEAR</v>
      </c>
      <c r="D28" s="32"/>
      <c r="E28" s="32"/>
      <c r="F28" s="35"/>
      <c r="G28" s="42"/>
      <c r="H28" s="16">
        <f>+'NOV WKSHT'!G52</f>
        <v>0</v>
      </c>
      <c r="I28" s="33"/>
      <c r="J28" s="57"/>
      <c r="K28" s="42"/>
      <c r="L28" s="16">
        <f>+'NOV WKSHT'!J52</f>
        <v>0</v>
      </c>
      <c r="M28" s="33"/>
      <c r="N28" s="57"/>
    </row>
    <row r="29" spans="1:15">
      <c r="A29" s="30"/>
      <c r="B29" s="32"/>
      <c r="C29" s="31" t="str">
        <f>+JUL!C29</f>
        <v>REVENUE REFUNDS:  CURRENT YEAR</v>
      </c>
      <c r="D29" s="32"/>
      <c r="E29" s="32"/>
      <c r="F29" s="35"/>
      <c r="G29" s="42"/>
      <c r="H29" s="16">
        <f>+'NOV WKSHT'!G53</f>
        <v>-2030.52</v>
      </c>
      <c r="I29" s="33"/>
      <c r="J29" s="57"/>
      <c r="K29" s="42"/>
      <c r="L29" s="16">
        <f>+'NOV WKSHT'!J53</f>
        <v>-7070.2200000000012</v>
      </c>
      <c r="M29" s="33"/>
      <c r="N29" s="57"/>
    </row>
    <row r="30" spans="1:15">
      <c r="A30" s="30"/>
      <c r="B30" s="32"/>
      <c r="C30" s="31" t="str">
        <f>+JUL!C30</f>
        <v>REFUND OF PRIOR YEAR DISBURSEMENTS</v>
      </c>
      <c r="D30" s="32"/>
      <c r="E30" s="32"/>
      <c r="F30" s="35"/>
      <c r="G30" s="42"/>
      <c r="H30" s="16">
        <f>+'NOV WKSHT'!G54</f>
        <v>0</v>
      </c>
      <c r="I30" s="33"/>
      <c r="J30" s="57"/>
      <c r="K30" s="42"/>
      <c r="L30" s="16">
        <f>+'NOV WKSHT'!J54</f>
        <v>0</v>
      </c>
      <c r="M30" s="33"/>
      <c r="N30" s="57"/>
    </row>
    <row r="31" spans="1:15">
      <c r="A31" s="30"/>
      <c r="B31" s="32"/>
      <c r="C31" s="31" t="str">
        <f>+JUL!C31</f>
        <v>UNHONORED CHECKS</v>
      </c>
      <c r="D31" s="32"/>
      <c r="E31" s="32"/>
      <c r="F31" s="35"/>
      <c r="G31" s="42"/>
      <c r="H31" s="16">
        <f>+'NOV WKSHT'!G55</f>
        <v>0</v>
      </c>
      <c r="I31" s="33"/>
      <c r="J31" s="57"/>
      <c r="K31" s="42"/>
      <c r="L31" s="16">
        <f>+'NOV WKSHT'!J55</f>
        <v>0</v>
      </c>
      <c r="M31" s="33"/>
      <c r="N31" s="57"/>
    </row>
    <row r="32" spans="1:15">
      <c r="A32" s="30"/>
      <c r="B32" s="32"/>
      <c r="C32" s="31" t="str">
        <f>+JUL!C32</f>
        <v>RECEIPT ADJUSTMENTS</v>
      </c>
      <c r="D32" s="32"/>
      <c r="E32" s="32"/>
      <c r="F32" s="35"/>
      <c r="G32" s="42"/>
      <c r="H32" s="11">
        <f>+'NOV WKSHT'!G56</f>
        <v>198553.98</v>
      </c>
      <c r="I32" s="16">
        <f>SUM(H27:H32)</f>
        <v>10975408.120000001</v>
      </c>
      <c r="J32" s="35"/>
      <c r="K32" s="42"/>
      <c r="L32" s="11">
        <f>+'NOV WKSHT'!J56</f>
        <v>489257.12</v>
      </c>
      <c r="M32" s="16">
        <f>SUM(L27:L32)</f>
        <v>47664756.529999994</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+'NOV WKSHT'!H58</f>
        <v>349789.54</v>
      </c>
      <c r="J34" s="35"/>
      <c r="K34" s="42"/>
      <c r="L34" s="16"/>
      <c r="M34" s="16">
        <f>+'NOV WKSHT'!K58</f>
        <v>1618253.6300000001</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+'NOV WKSHT'!H60</f>
        <v>0</v>
      </c>
      <c r="J36" s="35"/>
      <c r="K36" s="42"/>
      <c r="L36" s="16"/>
      <c r="M36" s="16">
        <f>+'NOV WKSHT'!K60</f>
        <v>6110.11</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+'NOV WKSHT'!H64</f>
        <v>7604114.5699999928</v>
      </c>
      <c r="J38" s="35"/>
      <c r="K38" s="42"/>
      <c r="L38" s="16"/>
      <c r="M38" s="11">
        <f>+'NOV WKSHT'!K64</f>
        <v>36010954.419999994</v>
      </c>
      <c r="N38" s="35"/>
    </row>
    <row r="39" spans="1:15">
      <c r="A39" s="30"/>
      <c r="B39" s="32"/>
      <c r="C39" s="32"/>
      <c r="D39" s="32"/>
      <c r="E39" s="32"/>
      <c r="F39" s="35"/>
      <c r="G39" s="42"/>
      <c r="H39" s="16"/>
      <c r="I39" s="16"/>
      <c r="J39" s="35"/>
      <c r="K39" s="42"/>
      <c r="L39" s="16"/>
      <c r="M39" s="16"/>
      <c r="N39" s="35"/>
    </row>
    <row r="40" spans="1:15" ht="13.5" thickBot="1">
      <c r="A40" s="53"/>
      <c r="B40" s="31" t="str">
        <f>+'NOV WKSHT'!B66</f>
        <v>CASH BALANCE NOVEMBER 30, 2023</v>
      </c>
      <c r="C40" s="32"/>
      <c r="D40" s="32"/>
      <c r="E40" s="32"/>
      <c r="F40" s="35"/>
      <c r="G40" s="42"/>
      <c r="H40" s="16"/>
      <c r="I40" s="21">
        <f>+I24+I32+I34+I36-I38</f>
        <v>87149804.490000024</v>
      </c>
      <c r="J40" s="56"/>
      <c r="K40" s="42"/>
      <c r="L40" s="16"/>
      <c r="M40" s="21">
        <f>+M22+M32+M34+M36-M38</f>
        <v>87149804.48999998</v>
      </c>
      <c r="N40" s="56"/>
      <c r="O40" s="2">
        <f>+I40-'NOV WKSHT'!H66</f>
        <v>0</v>
      </c>
    </row>
    <row r="41" spans="1:15" ht="13.5" thickBot="1">
      <c r="A41" s="38"/>
      <c r="B41" s="39"/>
      <c r="C41" s="39"/>
      <c r="D41" s="39"/>
      <c r="E41" s="39"/>
      <c r="F41" s="40"/>
      <c r="G41" s="43"/>
      <c r="H41" s="14"/>
      <c r="I41" s="14"/>
      <c r="J41" s="40"/>
      <c r="K41" s="43"/>
      <c r="L41" s="14"/>
      <c r="M41" s="14"/>
      <c r="N41" s="40"/>
      <c r="O41" s="2">
        <f>+M40-'NOV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+'NOV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OCTOBER 31, 2023</v>
      </c>
      <c r="C48" s="32"/>
      <c r="D48" s="32"/>
      <c r="E48" s="32"/>
      <c r="F48" s="61"/>
      <c r="G48" s="42"/>
      <c r="H48" s="16"/>
      <c r="I48" s="20">
        <f>+'NOV WKSHT'!H71</f>
        <v>40256133.530000001</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+'NOV WKSHT'!G76</f>
        <v>5179191.8000000007</v>
      </c>
      <c r="I51" s="33"/>
      <c r="J51" s="57"/>
      <c r="K51" s="42"/>
      <c r="L51" s="20">
        <f>+'NOV WKSHT'!J76</f>
        <v>24396546.52</v>
      </c>
      <c r="M51" s="33"/>
      <c r="N51" s="57"/>
    </row>
    <row r="52" spans="1:15">
      <c r="A52" s="30"/>
      <c r="B52" s="31"/>
      <c r="C52" s="31" t="str">
        <f>+JUL!C52</f>
        <v>REVENUE REFUNDS:  PRIOR YEAR</v>
      </c>
      <c r="D52" s="32"/>
      <c r="E52" s="32"/>
      <c r="F52" s="61"/>
      <c r="G52" s="42"/>
      <c r="H52" s="16">
        <f>+'NOV WKSHT'!G77</f>
        <v>0</v>
      </c>
      <c r="I52" s="33"/>
      <c r="J52" s="57"/>
      <c r="K52" s="42"/>
      <c r="L52" s="16">
        <f>+'NOV WKSHT'!J77</f>
        <v>0</v>
      </c>
      <c r="M52" s="33"/>
      <c r="N52" s="57"/>
    </row>
    <row r="53" spans="1:15">
      <c r="A53" s="30"/>
      <c r="B53" s="32"/>
      <c r="C53" s="31" t="str">
        <f>+JUL!C53</f>
        <v>REVENUE REFUNDS:  CURRENT YEAR</v>
      </c>
      <c r="D53" s="32"/>
      <c r="E53" s="32"/>
      <c r="F53" s="61"/>
      <c r="G53" s="42"/>
      <c r="H53" s="16">
        <f>+'NOV WKSHT'!G78</f>
        <v>-572.70000000000005</v>
      </c>
      <c r="I53" s="33"/>
      <c r="J53" s="57"/>
      <c r="K53" s="42"/>
      <c r="L53" s="16">
        <f>+'NOV WKSHT'!J78</f>
        <v>-1994.15</v>
      </c>
      <c r="M53" s="33"/>
      <c r="N53" s="57"/>
    </row>
    <row r="54" spans="1:15">
      <c r="A54" s="30"/>
      <c r="B54" s="31"/>
      <c r="C54" s="31" t="str">
        <f>+JUL!C54</f>
        <v>REFUND OF PRIOR YEAR DISBURSEMENTS</v>
      </c>
      <c r="D54" s="32"/>
      <c r="E54" s="32"/>
      <c r="F54" s="61"/>
      <c r="G54" s="42"/>
      <c r="H54" s="16">
        <f>+'NOV WKSHT'!G79</f>
        <v>0</v>
      </c>
      <c r="I54" s="33"/>
      <c r="J54" s="57"/>
      <c r="K54" s="42"/>
      <c r="L54" s="16">
        <f>+'NOV WKSHT'!J79</f>
        <v>0</v>
      </c>
      <c r="M54" s="33"/>
      <c r="N54" s="57"/>
    </row>
    <row r="55" spans="1:15">
      <c r="A55" s="30"/>
      <c r="B55" s="32"/>
      <c r="C55" s="31" t="str">
        <f>+JUL!C55</f>
        <v>UNHONORED CHECKS</v>
      </c>
      <c r="D55" s="32"/>
      <c r="E55" s="32"/>
      <c r="F55" s="61"/>
      <c r="G55" s="42"/>
      <c r="H55" s="16">
        <f>+'NOV WKSHT'!G80</f>
        <v>0</v>
      </c>
      <c r="I55" s="33"/>
      <c r="J55" s="57"/>
      <c r="K55" s="42"/>
      <c r="L55" s="16">
        <f>+'NOV WKSHT'!J80</f>
        <v>0</v>
      </c>
      <c r="M55" s="33"/>
      <c r="N55" s="57"/>
    </row>
    <row r="56" spans="1:15">
      <c r="A56" s="30"/>
      <c r="B56" s="32"/>
      <c r="C56" s="31" t="str">
        <f>+JUL!C56</f>
        <v>RECEIPT ADJUSTMENTS</v>
      </c>
      <c r="D56" s="32"/>
      <c r="E56" s="32"/>
      <c r="F56" s="61"/>
      <c r="G56" s="42"/>
      <c r="H56" s="11">
        <f>+'NOV WKSHT'!G81</f>
        <v>-158555.85999999999</v>
      </c>
      <c r="I56" s="16">
        <f>SUM(H51:H56)</f>
        <v>5020063.24</v>
      </c>
      <c r="J56" s="35"/>
      <c r="K56" s="42"/>
      <c r="L56" s="11">
        <f>+'NOV WKSHT'!J81</f>
        <v>-515497.54</v>
      </c>
      <c r="M56" s="16">
        <f>SUM(L51:L56)</f>
        <v>23879054.830000002</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+'NOV WKSHT'!H83</f>
        <v>292184.25</v>
      </c>
      <c r="J58" s="35"/>
      <c r="K58" s="42"/>
      <c r="L58" s="16"/>
      <c r="M58" s="16">
        <f>+'NOV WKSHT'!K83</f>
        <v>848296.79</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+'NOV WKSHT'!H85</f>
        <v>0</v>
      </c>
      <c r="J60" s="35"/>
      <c r="K60" s="42"/>
      <c r="L60" s="16"/>
      <c r="M60" s="16">
        <f>+'NOV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+'NOV WKSHT'!H87</f>
        <v>4733625.4400000013</v>
      </c>
      <c r="J62" s="35"/>
      <c r="K62" s="42"/>
      <c r="L62" s="16"/>
      <c r="M62" s="11">
        <f>+'NOV WKSHT'!K87</f>
        <v>22505581.25</v>
      </c>
      <c r="N62" s="35"/>
    </row>
    <row r="63" spans="1:15">
      <c r="A63" s="30"/>
      <c r="B63" s="32"/>
      <c r="C63" s="32"/>
      <c r="D63" s="32"/>
      <c r="E63" s="32"/>
      <c r="F63" s="61"/>
      <c r="G63" s="42"/>
      <c r="H63" s="16"/>
      <c r="I63" s="16"/>
      <c r="J63" s="35"/>
      <c r="K63" s="42"/>
      <c r="L63" s="16"/>
      <c r="M63" s="16"/>
      <c r="N63" s="35"/>
      <c r="O63" s="2">
        <f>+I64-'NOV WKSHT'!H89</f>
        <v>0</v>
      </c>
    </row>
    <row r="64" spans="1:15" ht="13.5" thickBot="1">
      <c r="A64" s="30">
        <f>+A38</f>
        <v>0</v>
      </c>
      <c r="B64" s="31" t="str">
        <f>+B40</f>
        <v>CASH BALANCE NOVEMBER 30, 2023</v>
      </c>
      <c r="C64" s="32"/>
      <c r="D64" s="32"/>
      <c r="E64" s="32"/>
      <c r="F64" s="61"/>
      <c r="G64" s="42"/>
      <c r="H64" s="16"/>
      <c r="I64" s="21">
        <f>+I48+I56+I58+I60-I62</f>
        <v>40834755.579999998</v>
      </c>
      <c r="J64" s="56"/>
      <c r="K64" s="42"/>
      <c r="L64" s="16"/>
      <c r="M64" s="21">
        <f>+M46+M56+M58+M60-M62</f>
        <v>40834755.580000006</v>
      </c>
      <c r="N64" s="56"/>
      <c r="O64" s="2">
        <f>+M64-'NOV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96"/>
  <sheetViews>
    <sheetView topLeftCell="A42" zoomScale="90" zoomScaleNormal="90" workbookViewId="0">
      <selection activeCell="K46" sqref="K46"/>
    </sheetView>
  </sheetViews>
  <sheetFormatPr defaultColWidth="9.140625" defaultRowHeight="12.75"/>
  <cols>
    <col min="1" max="3" width="3.7109375" style="6" customWidth="1"/>
    <col min="4" max="4" width="5.140625" style="6" customWidth="1"/>
    <col min="5" max="5" width="29.7109375" style="6" customWidth="1"/>
    <col min="6" max="7" width="14.7109375" style="2" customWidth="1"/>
    <col min="8" max="8" width="16.85546875" style="2" customWidth="1"/>
    <col min="9" max="9" width="1.7109375" style="2" customWidth="1"/>
    <col min="10" max="11" width="14.7109375" style="2" customWidth="1"/>
    <col min="12" max="12" width="19.42578125" style="2" customWidth="1"/>
    <col min="13" max="13" width="16.85546875" style="2" customWidth="1"/>
    <col min="14" max="14" width="11.28515625" style="2" bestFit="1" customWidth="1"/>
    <col min="15" max="15" width="14.7109375" style="2" customWidth="1"/>
    <col min="16" max="16" width="16.5703125" style="2" customWidth="1"/>
    <col min="17" max="17" width="14.42578125" style="2" bestFit="1" customWidth="1"/>
    <col min="18" max="16384" width="9.140625" style="2"/>
  </cols>
  <sheetData>
    <row r="1" spans="1:13" ht="15">
      <c r="A1" s="58" t="s">
        <v>0</v>
      </c>
      <c r="B1" s="3"/>
      <c r="C1" s="3"/>
      <c r="D1" s="3"/>
      <c r="E1" s="3"/>
      <c r="F1" s="3"/>
      <c r="G1" s="3"/>
      <c r="H1" s="3"/>
      <c r="I1" s="3"/>
      <c r="J1" s="3"/>
      <c r="K1" s="3"/>
    </row>
    <row r="2" spans="1:13" ht="15">
      <c r="A2" s="59" t="s">
        <v>1</v>
      </c>
      <c r="B2" s="3"/>
      <c r="C2" s="3"/>
      <c r="D2" s="3"/>
      <c r="E2" s="3"/>
      <c r="F2" s="3"/>
      <c r="G2" s="3"/>
      <c r="H2" s="3"/>
      <c r="I2" s="3"/>
      <c r="J2" s="3"/>
      <c r="K2" s="3"/>
    </row>
    <row r="3" spans="1:13" ht="15">
      <c r="A3" s="58" t="s">
        <v>2</v>
      </c>
      <c r="B3" s="3"/>
      <c r="C3" s="3"/>
      <c r="D3" s="3"/>
      <c r="E3" s="3"/>
      <c r="F3" s="3"/>
      <c r="G3" s="3"/>
      <c r="H3" s="3"/>
      <c r="I3" s="3"/>
      <c r="J3" s="3"/>
      <c r="K3" s="3"/>
    </row>
    <row r="4" spans="1:13" ht="15">
      <c r="A4" s="137" t="s">
        <v>100</v>
      </c>
      <c r="B4" s="143"/>
      <c r="C4" s="143"/>
      <c r="D4" s="143"/>
      <c r="E4" s="143"/>
      <c r="F4" s="143"/>
      <c r="G4" s="3"/>
      <c r="H4" s="3"/>
      <c r="I4" s="3"/>
      <c r="J4" s="3"/>
      <c r="K4" s="3"/>
    </row>
    <row r="5" spans="1:13" ht="4.9000000000000004" customHeight="1" thickBot="1">
      <c r="A5" s="17"/>
      <c r="B5" s="17"/>
      <c r="C5" s="17"/>
      <c r="D5" s="17"/>
      <c r="E5" s="17"/>
      <c r="F5" s="17"/>
      <c r="G5" s="17"/>
      <c r="H5" s="17"/>
      <c r="I5" s="17"/>
      <c r="J5" s="17"/>
      <c r="K5" s="17"/>
    </row>
    <row r="7" spans="1:13">
      <c r="B7" s="4"/>
      <c r="C7" s="4"/>
      <c r="D7" s="4"/>
      <c r="G7" s="5" t="s">
        <v>3</v>
      </c>
      <c r="H7" s="5"/>
      <c r="I7" s="12"/>
      <c r="J7" s="5" t="s">
        <v>4</v>
      </c>
      <c r="K7" s="76"/>
      <c r="L7" s="64" t="s">
        <v>5</v>
      </c>
    </row>
    <row r="8" spans="1:13">
      <c r="A8" s="9" t="str">
        <f>+'NOV WKSHT'!A8</f>
        <v>DEPARTMENT OF REVENUE SURTAX RECEIPTS COLLECTED (14E6-130-D130-R000-R284, R285, R286)</v>
      </c>
    </row>
    <row r="9" spans="1:13">
      <c r="B9" s="7" t="str">
        <f>+'NOV WKSHT'!B9</f>
        <v>GROSS RECEIPTS (REVENUE DISTRIBUTION)</v>
      </c>
      <c r="C9" s="7"/>
      <c r="E9" s="2"/>
    </row>
    <row r="10" spans="1:13">
      <c r="B10" s="7"/>
      <c r="C10" s="7" t="str">
        <f>+'NOV WKSHT'!C10</f>
        <v>VOLUNTEER FIRE DEPARTMENT AID</v>
      </c>
      <c r="E10" s="2"/>
    </row>
    <row r="11" spans="1:13">
      <c r="D11" s="7" t="str">
        <f>+'NOV WKSHT'!D11</f>
        <v>R284 Volunteer Fire Dept Aid Fund</v>
      </c>
      <c r="E11" s="2"/>
      <c r="H11" s="131">
        <v>2070655.65</v>
      </c>
      <c r="K11" s="74">
        <f>+H11+'NOV WKSHT'!K11</f>
        <v>13159297.870000001</v>
      </c>
    </row>
    <row r="12" spans="1:13">
      <c r="C12" s="7" t="str">
        <f>+'NOV WKSHT'!C12</f>
        <v>LAW ENFORCEMENT AND FIREFIGHTERS FUND</v>
      </c>
      <c r="E12" s="2"/>
      <c r="G12" s="74"/>
      <c r="J12" s="74"/>
    </row>
    <row r="13" spans="1:13">
      <c r="D13" s="7" t="str">
        <f>+'NOV WKSHT'!D13</f>
        <v>R285 Law Enforcement Fund</v>
      </c>
      <c r="E13" s="2"/>
      <c r="F13" s="74"/>
      <c r="G13" s="131">
        <v>8149193.71</v>
      </c>
      <c r="J13" s="74">
        <f>+G13+'NOV WKSHT'!J13</f>
        <v>55331763.339999996</v>
      </c>
    </row>
    <row r="14" spans="1:13">
      <c r="D14" s="7" t="str">
        <f>+'NOV WKSHT'!D14</f>
        <v>R286 Firefighters Fund</v>
      </c>
      <c r="E14" s="2"/>
      <c r="G14" s="130">
        <v>2298490.56</v>
      </c>
      <c r="H14" s="11">
        <f>SUM(G13:G14)</f>
        <v>10447684.27</v>
      </c>
      <c r="I14" s="74"/>
      <c r="J14" s="11">
        <f>+G14+'NOV WKSHT'!J14</f>
        <v>15606394.860000001</v>
      </c>
      <c r="K14" s="11">
        <f>SUM(J13:J14)</f>
        <v>70938158.200000003</v>
      </c>
      <c r="M14" s="75"/>
    </row>
    <row r="15" spans="1:13">
      <c r="E15" s="2"/>
      <c r="G15" s="65"/>
      <c r="H15" s="74">
        <f>SUM(H11:H14)</f>
        <v>12518339.92</v>
      </c>
      <c r="I15" s="74"/>
      <c r="J15" s="16"/>
      <c r="K15" s="74">
        <f>SUM(K11:K14)</f>
        <v>84097456.070000008</v>
      </c>
      <c r="L15" s="2">
        <f>+J51+J76-K15</f>
        <v>0</v>
      </c>
    </row>
    <row r="16" spans="1:13">
      <c r="E16" s="2"/>
      <c r="G16" s="65"/>
      <c r="H16" s="74"/>
      <c r="I16" s="74"/>
      <c r="J16" s="16"/>
      <c r="K16" s="74"/>
      <c r="L16" s="69"/>
    </row>
    <row r="17" spans="2:14">
      <c r="B17" s="7" t="str">
        <f>+'NOV WKSHT'!B17</f>
        <v>OTHER DISTRIBUTIONS (review JVs other than Revenue Distribution)</v>
      </c>
      <c r="E17" s="2"/>
      <c r="G17" s="19"/>
      <c r="H17" s="74"/>
      <c r="I17" s="74"/>
      <c r="K17" s="74"/>
      <c r="L17" s="69"/>
    </row>
    <row r="18" spans="2:14">
      <c r="B18" s="2"/>
      <c r="C18" s="7" t="str">
        <f>+'NOV WKSHT'!C18</f>
        <v>REVENUE REFUNDS</v>
      </c>
      <c r="D18" s="7"/>
      <c r="E18" s="2"/>
      <c r="L18" s="69"/>
    </row>
    <row r="19" spans="2:14">
      <c r="B19" s="2"/>
      <c r="C19" s="7"/>
      <c r="D19" s="7" t="str">
        <f>+'NOV WKSHT'!D19</f>
        <v>R284</v>
      </c>
      <c r="E19" s="2"/>
      <c r="F19" s="2" t="s">
        <v>32</v>
      </c>
      <c r="G19" s="131"/>
      <c r="J19" s="74">
        <f>+G19+'NOV WKSHT'!J19</f>
        <v>0</v>
      </c>
      <c r="L19" s="69"/>
    </row>
    <row r="20" spans="2:14">
      <c r="B20" s="2"/>
      <c r="C20" s="7"/>
      <c r="D20" s="7" t="str">
        <f>+'NOV WKSHT'!D20</f>
        <v>R285</v>
      </c>
      <c r="E20" s="2"/>
      <c r="G20" s="126">
        <v>-40627.279999999999</v>
      </c>
      <c r="H20" s="8"/>
      <c r="I20" s="8"/>
      <c r="J20" s="8">
        <f>+G20+'NOV WKSHT'!J20</f>
        <v>-48412.479999999996</v>
      </c>
      <c r="K20" s="8"/>
      <c r="L20" s="69"/>
    </row>
    <row r="21" spans="2:14">
      <c r="B21" s="2"/>
      <c r="C21" s="7"/>
      <c r="D21" s="7" t="str">
        <f>+'NOV WKSHT'!D21</f>
        <v>R286</v>
      </c>
      <c r="E21" s="2"/>
      <c r="G21" s="124">
        <v>-11458.98</v>
      </c>
      <c r="H21" s="8">
        <f>SUM(G19:G21)</f>
        <v>-52086.259999999995</v>
      </c>
      <c r="I21" s="8"/>
      <c r="J21" s="77">
        <f>+G21+'NOV WKSHT'!J21</f>
        <v>-13654.789999999999</v>
      </c>
      <c r="K21" s="8">
        <f>SUM(J19:J21)</f>
        <v>-62067.27</v>
      </c>
      <c r="L21" s="69">
        <f>+J52+J53+J77+J78-K21</f>
        <v>52086.259999999995</v>
      </c>
    </row>
    <row r="22" spans="2:14">
      <c r="B22" s="2"/>
      <c r="C22" s="7" t="str">
        <f>+'NOV WKSHT'!C22</f>
        <v>UNHONORED CHECKS</v>
      </c>
      <c r="E22" s="2"/>
      <c r="L22" s="94"/>
      <c r="M22" s="8"/>
    </row>
    <row r="23" spans="2:14">
      <c r="B23" s="2"/>
      <c r="D23" s="7" t="str">
        <f>+'NOV WKSHT'!D23</f>
        <v>R284</v>
      </c>
      <c r="E23" s="2"/>
      <c r="G23" s="131"/>
      <c r="J23" s="74">
        <f>+G23+'NOV WKSHT'!J23</f>
        <v>0</v>
      </c>
      <c r="L23" s="8"/>
      <c r="M23" s="8"/>
    </row>
    <row r="24" spans="2:14">
      <c r="B24" s="2"/>
      <c r="D24" s="7" t="str">
        <f>+'NOV WKSHT'!D24</f>
        <v>R285</v>
      </c>
      <c r="E24" s="2"/>
      <c r="G24" s="133"/>
      <c r="J24" s="2">
        <f>+G24+'NOV WKSHT'!J24</f>
        <v>0</v>
      </c>
      <c r="L24" s="8"/>
      <c r="M24" s="8"/>
      <c r="N24" s="8"/>
    </row>
    <row r="25" spans="2:14">
      <c r="B25" s="2"/>
      <c r="D25" s="7" t="str">
        <f>+'NOV WKSHT'!D25</f>
        <v>R286</v>
      </c>
      <c r="E25" s="2"/>
      <c r="G25" s="130"/>
      <c r="H25" s="2">
        <f>SUM(G23:G25)</f>
        <v>0</v>
      </c>
      <c r="J25" s="11">
        <f>+G25+'NOV WKSHT'!J25</f>
        <v>0</v>
      </c>
      <c r="K25" s="2">
        <f>SUM(J23:J25)</f>
        <v>0</v>
      </c>
      <c r="L25" s="2">
        <f>+J55+J80-K25</f>
        <v>0</v>
      </c>
    </row>
    <row r="26" spans="2:14">
      <c r="B26" s="2"/>
      <c r="C26" s="7" t="str">
        <f>+'NOV WKSHT'!C26</f>
        <v>RECEIPT ADJUSTMENTS</v>
      </c>
      <c r="E26" s="2"/>
      <c r="H26" s="8"/>
      <c r="I26" s="8"/>
    </row>
    <row r="27" spans="2:14">
      <c r="B27" s="2"/>
      <c r="D27" s="7" t="str">
        <f>+'NOV WKSHT'!D27</f>
        <v>R284</v>
      </c>
      <c r="E27" s="2"/>
      <c r="G27" s="131">
        <v>-12236.77</v>
      </c>
      <c r="J27" s="74">
        <f>+G27+'NOV WKSHT'!J27</f>
        <v>-666439.99</v>
      </c>
    </row>
    <row r="28" spans="2:14">
      <c r="B28" s="2"/>
      <c r="D28" s="7" t="str">
        <f>+'NOV WKSHT'!D28</f>
        <v>R285</v>
      </c>
      <c r="E28" s="2"/>
      <c r="G28" s="133">
        <v>9137.3799999999992</v>
      </c>
      <c r="J28" s="2">
        <f>+G28+'NOV WKSHT'!J28</f>
        <v>498394.5</v>
      </c>
    </row>
    <row r="29" spans="2:14">
      <c r="B29" s="2"/>
      <c r="D29" s="7" t="str">
        <f>+'NOV WKSHT'!D29</f>
        <v>R286</v>
      </c>
      <c r="E29" s="2"/>
      <c r="G29" s="130">
        <v>2577.21</v>
      </c>
      <c r="H29" s="11">
        <f>SUM(G27:G29)</f>
        <v>-522.1800000000012</v>
      </c>
      <c r="J29" s="11">
        <f>+G29+'NOV WKSHT'!J29</f>
        <v>140572.79999999999</v>
      </c>
      <c r="K29" s="11">
        <f>SUM(J27:J29)</f>
        <v>-27472.690000000002</v>
      </c>
      <c r="L29" s="2">
        <f>+J56+J81-K29</f>
        <v>5.8207660913467407E-11</v>
      </c>
    </row>
    <row r="30" spans="2:14" ht="13.5" thickBot="1">
      <c r="B30" s="2"/>
      <c r="D30" s="7" t="str">
        <f>+'NOV WKSHT'!D30</f>
        <v>NET RECEIPTS TO BE DISTRIBUTED</v>
      </c>
      <c r="E30" s="2"/>
      <c r="H30" s="78">
        <f>SUM(H15:H29)</f>
        <v>12465731.48</v>
      </c>
      <c r="I30" s="65"/>
      <c r="K30" s="78">
        <f>SUM(K15:K29)</f>
        <v>84007916.110000014</v>
      </c>
      <c r="L30" s="128"/>
      <c r="M30" s="8"/>
    </row>
    <row r="31" spans="2:14">
      <c r="M31" s="8"/>
      <c r="N31" s="8"/>
    </row>
    <row r="32" spans="2:14">
      <c r="B32" s="7" t="str">
        <f>+'NOV WKSHT'!B32</f>
        <v>TOTAL</v>
      </c>
      <c r="D32" s="2"/>
    </row>
    <row r="33" spans="1:12">
      <c r="C33" s="7" t="str">
        <f>+'NOV WKSHT'!C33</f>
        <v>R284</v>
      </c>
      <c r="D33" s="2"/>
      <c r="G33" s="74">
        <f>+G27+G23+G19+H11</f>
        <v>2058418.88</v>
      </c>
      <c r="J33" s="74">
        <f>+J27+J23+J19+K11</f>
        <v>12492857.880000001</v>
      </c>
    </row>
    <row r="34" spans="1:12">
      <c r="C34" s="7" t="str">
        <f>+'NOV WKSHT'!C34</f>
        <v>R285</v>
      </c>
      <c r="D34" s="2"/>
      <c r="G34" s="2">
        <f>+G28+G24+G20+G13</f>
        <v>8117703.8099999996</v>
      </c>
      <c r="J34" s="2">
        <f>+J28+J24+J20+J13</f>
        <v>55781745.359999999</v>
      </c>
    </row>
    <row r="35" spans="1:12">
      <c r="C35" s="7" t="str">
        <f>+'NOV WKSHT'!C35</f>
        <v>R286</v>
      </c>
      <c r="D35" s="2"/>
      <c r="G35" s="11">
        <f>+G29+G25+G21+G14</f>
        <v>2289608.79</v>
      </c>
      <c r="H35" s="74">
        <f>SUM(G33:G35)</f>
        <v>12465731.48</v>
      </c>
      <c r="J35" s="11">
        <f>+J29+J25+J21+J14</f>
        <v>15733312.870000001</v>
      </c>
      <c r="K35" s="74">
        <f>SUM(J33:J35)</f>
        <v>84007916.109999999</v>
      </c>
    </row>
    <row r="36" spans="1:12">
      <c r="F36"/>
      <c r="G36"/>
    </row>
    <row r="37" spans="1:12">
      <c r="C37" s="259" t="s">
        <v>60</v>
      </c>
      <c r="D37" s="212"/>
      <c r="E37" s="212"/>
      <c r="F37" s="212"/>
      <c r="G37" s="229" t="s">
        <v>102</v>
      </c>
      <c r="H37" s="282"/>
      <c r="K37" s="69"/>
      <c r="L37" s="69"/>
    </row>
    <row r="38" spans="1:12">
      <c r="C38" s="212"/>
      <c r="D38" s="227"/>
      <c r="E38" s="212" t="s">
        <v>59</v>
      </c>
      <c r="F38" s="212"/>
      <c r="G38" s="212"/>
      <c r="H38" s="165">
        <f>G39+G40+G41</f>
        <v>52086.259999999995</v>
      </c>
      <c r="J38" s="129"/>
      <c r="K38" s="228"/>
      <c r="L38" s="69"/>
    </row>
    <row r="39" spans="1:12">
      <c r="C39" s="212"/>
      <c r="D39" s="212"/>
      <c r="E39" s="227" t="s">
        <v>66</v>
      </c>
      <c r="F39" s="227"/>
      <c r="G39" s="165">
        <f>-G19</f>
        <v>0</v>
      </c>
      <c r="H39" s="212"/>
    </row>
    <row r="40" spans="1:12">
      <c r="C40" s="212"/>
      <c r="D40" s="212"/>
      <c r="E40" s="227" t="s">
        <v>65</v>
      </c>
      <c r="F40" s="212"/>
      <c r="G40" s="212">
        <f>-G20</f>
        <v>40627.279999999999</v>
      </c>
      <c r="H40" s="212"/>
      <c r="J40" s="74"/>
    </row>
    <row r="41" spans="1:12">
      <c r="C41" s="212"/>
      <c r="D41" s="212"/>
      <c r="E41" s="227" t="s">
        <v>66</v>
      </c>
      <c r="F41" s="212"/>
      <c r="G41" s="212">
        <f>-G21</f>
        <v>11458.98</v>
      </c>
      <c r="H41" s="212"/>
      <c r="J41" s="74"/>
    </row>
    <row r="42" spans="1:12" ht="15">
      <c r="C42" s="259" t="s">
        <v>72</v>
      </c>
      <c r="D42" s="212"/>
      <c r="E42" s="227"/>
      <c r="F42" s="274"/>
      <c r="G42" s="366"/>
      <c r="H42" s="212"/>
      <c r="J42" s="74"/>
    </row>
    <row r="43" spans="1:12">
      <c r="C43" s="212"/>
      <c r="D43" s="212"/>
      <c r="E43" s="227"/>
      <c r="F43" s="212"/>
      <c r="G43" s="212"/>
      <c r="H43" s="212"/>
      <c r="J43" s="74"/>
    </row>
    <row r="44" spans="1:12" s="69" customFormat="1">
      <c r="A44" s="100"/>
      <c r="B44" s="100"/>
      <c r="C44" s="172"/>
      <c r="D44" s="172"/>
      <c r="E44" s="179"/>
      <c r="F44" s="172"/>
      <c r="G44" s="172"/>
      <c r="H44" s="172"/>
      <c r="J44" s="108"/>
    </row>
    <row r="45" spans="1:12">
      <c r="A45" s="70" t="str">
        <f>+'NOV WKSHT'!A45</f>
        <v>LAW ENFORCEMENT FOUNDATION FUND (13DB-525-0000)</v>
      </c>
    </row>
    <row r="46" spans="1:12">
      <c r="A46" s="9"/>
      <c r="B46" s="7" t="str">
        <f>+'NOV WKSHT'!B46</f>
        <v>BALANCE FORWARDED FROM FISCAL YEAR 2023</v>
      </c>
      <c r="K46" s="74">
        <f>+'NOV WKSHT'!K46</f>
        <v>73871638.640000001</v>
      </c>
    </row>
    <row r="47" spans="1:12">
      <c r="A47" s="9"/>
      <c r="K47" s="74"/>
    </row>
    <row r="48" spans="1:12">
      <c r="B48" s="10" t="str">
        <f>+'NOV WKSHT'!B66</f>
        <v>CASH BALANCE NOVEMBER 30, 2023</v>
      </c>
      <c r="H48" s="108">
        <f>+'NOV WKSHT'!H66</f>
        <v>87149804.490000024</v>
      </c>
      <c r="I48" s="74"/>
    </row>
    <row r="49" spans="2:13">
      <c r="B49" s="7"/>
      <c r="H49" s="74"/>
      <c r="I49" s="74"/>
      <c r="L49" s="69"/>
    </row>
    <row r="50" spans="2:13">
      <c r="B50" s="7" t="str">
        <f>+'NOV WKSHT'!B50</f>
        <v>REVENUE DISTRIBUTION INCOME (REVENUE DETAIL WORKSHEET):</v>
      </c>
      <c r="H50" s="67" t="s">
        <v>63</v>
      </c>
      <c r="K50" s="67" t="s">
        <v>63</v>
      </c>
      <c r="L50" s="244"/>
    </row>
    <row r="51" spans="2:13">
      <c r="C51" s="7" t="str">
        <f>+'NOV WKSHT'!C51</f>
        <v>REVENUE DISTRIBUTION (N114)</v>
      </c>
      <c r="G51" s="174">
        <v>8149193.71</v>
      </c>
      <c r="H51" s="66">
        <f>+H14*0.78</f>
        <v>8149193.7306000004</v>
      </c>
      <c r="J51" s="74">
        <f>+G51+'NOV WKSHT'!J51</f>
        <v>55331763.339999996</v>
      </c>
      <c r="K51" s="66">
        <f>+K14*0.78</f>
        <v>55331763.396000005</v>
      </c>
      <c r="L51" s="110"/>
    </row>
    <row r="52" spans="2:13">
      <c r="C52" s="7" t="str">
        <f>+'NOV WKSHT'!C52</f>
        <v>REVENUE REFUNDS:  PRIOR YEAR</v>
      </c>
      <c r="G52" s="133"/>
      <c r="J52" s="2">
        <f>+G52+'NOV WKSHT'!J52</f>
        <v>0</v>
      </c>
      <c r="L52" s="110"/>
    </row>
    <row r="53" spans="2:13">
      <c r="C53" s="7" t="str">
        <f>+'NOV WKSHT'!C53</f>
        <v>REVENUE REFUNDS:  CURRENT YEAR</v>
      </c>
      <c r="G53" s="164">
        <v>-714.98</v>
      </c>
      <c r="J53" s="2">
        <f>+G53+'NOV WKSHT'!J53</f>
        <v>-7785.2000000000007</v>
      </c>
    </row>
    <row r="54" spans="2:13">
      <c r="C54" s="7" t="str">
        <f>+'NOV WKSHT'!C54</f>
        <v>REFUND OF PRIOR YEAR DISBURSEMENTS (R881)</v>
      </c>
      <c r="G54" s="133"/>
      <c r="J54" s="2">
        <f>+G54+'NOV WKSHT'!J54</f>
        <v>0</v>
      </c>
    </row>
    <row r="55" spans="2:13">
      <c r="C55" s="7" t="str">
        <f>+'NOV WKSHT'!C55</f>
        <v>UNHONORED CHECKS</v>
      </c>
      <c r="G55" s="133"/>
      <c r="J55" s="2">
        <f>+G55+'NOV WKSHT'!J55</f>
        <v>0</v>
      </c>
      <c r="M55" s="63"/>
    </row>
    <row r="56" spans="2:13">
      <c r="C56" s="7" t="str">
        <f>+'NOV WKSHT'!C56</f>
        <v>RECEIPT ADJUSTMENTS</v>
      </c>
      <c r="G56" s="130">
        <v>9137.3799999999992</v>
      </c>
      <c r="H56" s="2">
        <f>SUM(G51:G56)</f>
        <v>8157616.1099999994</v>
      </c>
      <c r="J56" s="11">
        <f>+G56+'NOV WKSHT'!J56</f>
        <v>498394.5</v>
      </c>
      <c r="K56" s="2">
        <f>SUM(J51:J56)</f>
        <v>55822372.639999993</v>
      </c>
    </row>
    <row r="58" spans="2:13">
      <c r="B58" s="7" t="str">
        <f>+'NOV WKSHT'!B58</f>
        <v>INVESTMENT INCOME (R771)</v>
      </c>
      <c r="C58" s="2"/>
      <c r="H58" s="133">
        <v>379328.1</v>
      </c>
      <c r="K58" s="2">
        <f>+H58+'NOV WKSHT'!K58</f>
        <v>1997581.73</v>
      </c>
    </row>
    <row r="59" spans="2:13">
      <c r="L59" s="147" t="s">
        <v>50</v>
      </c>
      <c r="M59" s="63"/>
    </row>
    <row r="60" spans="2:13">
      <c r="B60" s="7" t="str">
        <f>+'NOV WKSHT'!B60</f>
        <v>OTHER REVENUE</v>
      </c>
      <c r="H60" s="133"/>
      <c r="K60" s="2">
        <f>+H60+'NOV WKSHT'!K60</f>
        <v>6110.11</v>
      </c>
      <c r="L60" s="148">
        <f>3433031.81+'NOV WKSHT'!L60</f>
        <v>16568742.030000001</v>
      </c>
    </row>
    <row r="61" spans="2:13">
      <c r="L61" s="141" t="s">
        <v>54</v>
      </c>
      <c r="M61" s="63"/>
    </row>
    <row r="62" spans="2:13">
      <c r="B62" s="7" t="str">
        <f>+'NOV WKSHT'!B62</f>
        <v>EXPENDITURES (LAW ENFORCEMENT SUMMARY)</v>
      </c>
      <c r="H62" s="110"/>
      <c r="I62" s="110"/>
      <c r="J62" s="110"/>
      <c r="K62" s="110"/>
      <c r="L62" s="141">
        <f>+K46</f>
        <v>73871638.640000001</v>
      </c>
    </row>
    <row r="63" spans="2:13">
      <c r="B63" s="7"/>
      <c r="C63" s="6" t="str">
        <f>+'AUG WKSHT'!C63</f>
        <v>CASH EXPENDITURES</v>
      </c>
      <c r="H63" s="8"/>
      <c r="I63" s="8"/>
      <c r="J63" s="126">
        <v>41257322.450000003</v>
      </c>
      <c r="K63" s="8"/>
      <c r="L63" s="141" t="s">
        <v>55</v>
      </c>
    </row>
    <row r="64" spans="2:13">
      <c r="B64" s="7"/>
      <c r="C64" s="6" t="str">
        <f>+'AUG WKSHT'!C64</f>
        <v>ACCRUED EXPENDITURES</v>
      </c>
      <c r="H64" s="77">
        <f>+K64-'NOV WKSHT'!K64</f>
        <v>5103912.400000006</v>
      </c>
      <c r="I64" s="8"/>
      <c r="J64" s="124">
        <v>-142455.630000003</v>
      </c>
      <c r="K64" s="152">
        <f>SUM(J63+J64)</f>
        <v>41114866.82</v>
      </c>
      <c r="L64" s="141">
        <f>+J64</f>
        <v>-142455.630000003</v>
      </c>
    </row>
    <row r="65" spans="1:13">
      <c r="L65" s="141" t="s">
        <v>53</v>
      </c>
      <c r="M65" s="177" t="s">
        <v>70</v>
      </c>
    </row>
    <row r="66" spans="1:13" ht="13.5" thickBot="1">
      <c r="B66" s="135" t="s">
        <v>101</v>
      </c>
      <c r="C66" s="144"/>
      <c r="D66" s="144"/>
      <c r="E66" s="144"/>
      <c r="H66" s="79">
        <f>+H48+H56+H58+H60-H64</f>
        <v>90582836.300000012</v>
      </c>
      <c r="K66" s="79">
        <f>+K46+K56+K58+K60-K64</f>
        <v>90582836.300000012</v>
      </c>
      <c r="L66" s="140">
        <f>+L60+L62-L64</f>
        <v>90582836.300000012</v>
      </c>
      <c r="M66" s="8">
        <f>L66-K66</f>
        <v>0</v>
      </c>
    </row>
    <row r="67" spans="1:13">
      <c r="L67" s="36"/>
      <c r="M67" s="8"/>
    </row>
    <row r="68" spans="1:13">
      <c r="A68" s="70" t="str">
        <f>+'NOV WKSHT'!A68</f>
        <v>FIREFIGHTERS FOUNDATION FUND (1341-470-UNIT-PK00)</v>
      </c>
      <c r="L68" s="16"/>
      <c r="M68" s="8"/>
    </row>
    <row r="69" spans="1:13">
      <c r="A69" s="7"/>
      <c r="B69" s="6" t="str">
        <f>+B46</f>
        <v>BALANCE FORWARDED FROM FISCAL YEAR 2023</v>
      </c>
      <c r="K69" s="74">
        <f>+'NOV WKSHT'!K69</f>
        <v>38612985.210000001</v>
      </c>
      <c r="L69" s="16"/>
      <c r="M69" s="8"/>
    </row>
    <row r="70" spans="1:13">
      <c r="A70" s="9"/>
      <c r="K70" s="74"/>
      <c r="L70" s="16"/>
      <c r="M70" s="8"/>
    </row>
    <row r="71" spans="1:13">
      <c r="B71" s="7" t="str">
        <f>+B48</f>
        <v>CASH BALANCE NOVEMBER 30, 2023</v>
      </c>
      <c r="H71" s="108">
        <f>+'NOV WKSHT'!H89</f>
        <v>40834755.579999998</v>
      </c>
      <c r="I71" s="74"/>
      <c r="M71" s="8"/>
    </row>
    <row r="72" spans="1:13">
      <c r="B72" s="7"/>
      <c r="H72" s="74"/>
      <c r="I72" s="74"/>
      <c r="M72" s="8"/>
    </row>
    <row r="73" spans="1:13">
      <c r="B73" s="10" t="str">
        <f>+B50</f>
        <v>REVENUE DISTRIBUTION INCOME (REVENUE DETAIL WORKSHEET):</v>
      </c>
      <c r="M73" s="8"/>
    </row>
    <row r="74" spans="1:13">
      <c r="C74" s="7" t="str">
        <f>+C51</f>
        <v>REVENUE DISTRIBUTION (N114)</v>
      </c>
      <c r="H74" s="67" t="s">
        <v>64</v>
      </c>
      <c r="K74" s="67"/>
      <c r="M74" s="8"/>
    </row>
    <row r="75" spans="1:13">
      <c r="C75" s="7"/>
      <c r="D75" s="6" t="s">
        <v>34</v>
      </c>
      <c r="F75" s="131">
        <v>2298490.56</v>
      </c>
      <c r="G75" s="74"/>
      <c r="H75" s="66">
        <f>+H14*0.22</f>
        <v>2298490.5394000001</v>
      </c>
      <c r="J75" s="74"/>
      <c r="K75" s="66"/>
      <c r="L75" s="138" t="s">
        <v>43</v>
      </c>
      <c r="M75" s="8"/>
    </row>
    <row r="76" spans="1:13">
      <c r="C76" s="7"/>
      <c r="D76" s="10" t="s">
        <v>35</v>
      </c>
      <c r="F76" s="130">
        <v>2070655.65</v>
      </c>
      <c r="G76" s="74">
        <f>SUM(F75:F76)</f>
        <v>4369146.21</v>
      </c>
      <c r="J76" s="74">
        <f>+G76+'NOV WKSHT'!J76</f>
        <v>28765692.73</v>
      </c>
      <c r="L76" s="141">
        <f>+K11+J14</f>
        <v>28765692.730000004</v>
      </c>
      <c r="M76" s="8"/>
    </row>
    <row r="77" spans="1:13">
      <c r="C77" s="7" t="str">
        <f>+C52</f>
        <v>REVENUE REFUNDS:  PRIOR YEAR</v>
      </c>
      <c r="G77" s="133"/>
      <c r="J77" s="2">
        <f>+G77+'NOV WKSHT'!J77</f>
        <v>0</v>
      </c>
      <c r="L77" s="139" t="s">
        <v>44</v>
      </c>
      <c r="M77" s="8"/>
    </row>
    <row r="78" spans="1:13">
      <c r="C78" s="6" t="str">
        <f>+C53</f>
        <v>REVENUE REFUNDS:  CURRENT YEAR</v>
      </c>
      <c r="G78" s="164">
        <v>-201.66</v>
      </c>
      <c r="J78" s="2">
        <f>+G78+'NOV WKSHT'!J78</f>
        <v>-2195.81</v>
      </c>
      <c r="L78" s="140">
        <f>+J76-L76</f>
        <v>0</v>
      </c>
      <c r="M78" s="8"/>
    </row>
    <row r="79" spans="1:13">
      <c r="C79" s="7" t="str">
        <f>+C54</f>
        <v>REFUND OF PRIOR YEAR DISBURSEMENTS (R881)</v>
      </c>
      <c r="G79" s="133"/>
      <c r="J79" s="2">
        <f>+G79+'NOV WKSHT'!J79</f>
        <v>0</v>
      </c>
      <c r="M79" s="8"/>
    </row>
    <row r="80" spans="1:13">
      <c r="C80" s="6" t="str">
        <f>+C55</f>
        <v>UNHONORED CHECKS</v>
      </c>
      <c r="G80" s="133"/>
      <c r="J80" s="2">
        <f>+G80+'NOV WKSHT'!J80</f>
        <v>0</v>
      </c>
      <c r="M80" s="8"/>
    </row>
    <row r="81" spans="1:16">
      <c r="C81" s="6" t="str">
        <f>+C56</f>
        <v>RECEIPT ADJUSTMENTS</v>
      </c>
      <c r="G81" s="130">
        <f>-9659.56+-710.09</f>
        <v>-10369.65</v>
      </c>
      <c r="H81" s="2">
        <f>SUM(G75:G81)</f>
        <v>4358574.8999999994</v>
      </c>
      <c r="J81" s="11">
        <f>+G81+'NOV WKSHT'!J81</f>
        <v>-525867.18999999994</v>
      </c>
      <c r="K81" s="2">
        <f>SUM(J76:J81)</f>
        <v>28237629.73</v>
      </c>
      <c r="M81" s="8"/>
    </row>
    <row r="82" spans="1:16">
      <c r="M82" s="8"/>
    </row>
    <row r="83" spans="1:16">
      <c r="B83" s="7" t="str">
        <f>+B58</f>
        <v>INVESTMENT INCOME (R771)</v>
      </c>
      <c r="C83" s="2"/>
      <c r="H83" s="133">
        <v>284941.75</v>
      </c>
      <c r="K83" s="2">
        <f>+H83+'NOV WKSHT'!K83</f>
        <v>1133238.54</v>
      </c>
      <c r="M83" s="8"/>
    </row>
    <row r="84" spans="1:16">
      <c r="L84" s="147" t="s">
        <v>50</v>
      </c>
      <c r="M84" s="8"/>
    </row>
    <row r="85" spans="1:16">
      <c r="B85" s="7" t="str">
        <f>+B60</f>
        <v>OTHER REVENUE</v>
      </c>
      <c r="C85" s="2"/>
      <c r="H85" s="133"/>
      <c r="K85" s="2">
        <f>+H85+'NOV WKSHT'!K85</f>
        <v>0</v>
      </c>
      <c r="L85" s="367">
        <f>-2057964.62+'NOV WKSHT'!L85</f>
        <v>163805.75</v>
      </c>
      <c r="M85" s="8"/>
    </row>
    <row r="86" spans="1:16">
      <c r="L86" s="141" t="s">
        <v>54</v>
      </c>
      <c r="M86" s="8"/>
    </row>
    <row r="87" spans="1:16">
      <c r="B87" s="7" t="str">
        <f>+'NOV WKSHT'!B87</f>
        <v>EXPENDITURES (FIREFIGHTERS SUMMARY)</v>
      </c>
      <c r="H87" s="11">
        <f>+K87-'NOV WKSHT'!K87</f>
        <v>6701481.2699999996</v>
      </c>
      <c r="K87" s="130">
        <v>29207062.52</v>
      </c>
      <c r="L87" s="141">
        <f>+K69</f>
        <v>38612985.210000001</v>
      </c>
      <c r="M87" s="8"/>
    </row>
    <row r="88" spans="1:16">
      <c r="L88" s="141" t="s">
        <v>53</v>
      </c>
      <c r="M88" s="177" t="s">
        <v>70</v>
      </c>
    </row>
    <row r="89" spans="1:16" ht="13.5" thickBot="1">
      <c r="B89" s="6" t="str">
        <f>+B66</f>
        <v>CASH BALANCE DECEMBER 31, 2023</v>
      </c>
      <c r="H89" s="79">
        <f>+H71+H81+H83+H85-H87</f>
        <v>38776790.959999993</v>
      </c>
      <c r="K89" s="79">
        <f>+K69+K81+K83+K85-K87</f>
        <v>38776790.960000008</v>
      </c>
      <c r="L89" s="140">
        <f>+L85+L87</f>
        <v>38776790.960000001</v>
      </c>
      <c r="M89" s="8">
        <f>L89-K89</f>
        <v>0</v>
      </c>
    </row>
    <row r="91" spans="1:16">
      <c r="A91" s="100"/>
      <c r="B91" s="100"/>
      <c r="C91" s="100"/>
      <c r="D91" s="100"/>
      <c r="E91" s="100"/>
      <c r="F91" s="69"/>
      <c r="G91" s="69"/>
      <c r="H91" s="69"/>
      <c r="I91" s="69"/>
      <c r="J91" s="69"/>
      <c r="K91" s="69"/>
      <c r="L91" s="69"/>
      <c r="M91" s="69"/>
    </row>
    <row r="92" spans="1:16" customFormat="1">
      <c r="A92" s="267"/>
      <c r="B92" s="267"/>
      <c r="C92" s="267"/>
      <c r="D92" s="267"/>
      <c r="E92" s="267"/>
      <c r="F92" s="267"/>
      <c r="G92" s="267"/>
      <c r="H92" s="267"/>
      <c r="I92" s="267"/>
      <c r="J92" s="268"/>
      <c r="K92" s="269"/>
      <c r="L92" s="269"/>
      <c r="M92" s="269"/>
      <c r="N92" s="237"/>
      <c r="O92" s="237"/>
      <c r="P92" s="237"/>
    </row>
    <row r="93" spans="1:16" customFormat="1">
      <c r="A93" s="267"/>
      <c r="B93" s="267"/>
      <c r="C93" s="267"/>
      <c r="D93" s="267"/>
      <c r="E93" s="267"/>
      <c r="F93" s="267"/>
      <c r="G93" s="267"/>
      <c r="H93" s="267"/>
      <c r="I93" s="267"/>
      <c r="J93" s="268"/>
      <c r="K93" s="270"/>
      <c r="L93" s="270"/>
      <c r="M93" s="270"/>
      <c r="N93" s="237"/>
      <c r="O93" s="237"/>
      <c r="P93" s="237"/>
    </row>
    <row r="94" spans="1:16" customFormat="1">
      <c r="A94" s="267"/>
      <c r="B94" s="267"/>
      <c r="C94" s="267"/>
      <c r="D94" s="267"/>
      <c r="E94" s="267"/>
      <c r="F94" s="267"/>
      <c r="G94" s="267"/>
      <c r="H94" s="267"/>
      <c r="I94" s="267"/>
      <c r="J94" s="268"/>
      <c r="K94" s="269"/>
      <c r="L94" s="269"/>
      <c r="M94" s="270"/>
      <c r="N94" s="237"/>
      <c r="O94" s="237"/>
      <c r="P94" s="237"/>
    </row>
    <row r="95" spans="1:16">
      <c r="A95" s="100"/>
      <c r="B95" s="100"/>
      <c r="C95" s="100"/>
      <c r="D95" s="100"/>
      <c r="E95" s="100"/>
      <c r="F95" s="69"/>
      <c r="G95" s="69"/>
      <c r="H95" s="69"/>
      <c r="I95" s="69"/>
      <c r="J95" s="69"/>
      <c r="K95" s="69"/>
      <c r="L95" s="69"/>
      <c r="M95" s="69"/>
    </row>
    <row r="96" spans="1:16">
      <c r="A96" s="100"/>
      <c r="B96" s="100"/>
      <c r="C96" s="100"/>
      <c r="D96" s="100"/>
      <c r="E96" s="100"/>
      <c r="F96" s="69"/>
      <c r="G96" s="69"/>
      <c r="H96" s="69"/>
      <c r="I96" s="69"/>
      <c r="J96" s="69"/>
      <c r="K96" s="69"/>
      <c r="L96" s="69"/>
      <c r="M96" s="69"/>
    </row>
  </sheetData>
  <phoneticPr fontId="12" type="noConversion"/>
  <printOptions horizontalCentered="1" verticalCentered="1"/>
  <pageMargins left="0" right="0" top="0" bottom="0" header="0" footer="0"/>
  <pageSetup scale="66" orientation="portrait" horizontalDpi="300" verticalDpi="300" r:id="rId1"/>
  <headerFooter alignWithMargins="0">
    <oddHeader>&amp;R&amp;F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65"/>
  <sheetViews>
    <sheetView workbookViewId="0">
      <selection activeCell="B4" sqref="B4"/>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3" width="14.7109375" style="2" customWidth="1"/>
    <col min="14" max="14" width="1.7109375" style="2" customWidth="1"/>
    <col min="15" max="15" width="10.28515625" style="2"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+'DEC WKSHT'!A4</f>
        <v>FOR THE PERIOD DECEMBER 1, 2023 - DECEMBER 31, 2023</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64"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+'DEC WKSHT'!H11</f>
        <v>2070655.65</v>
      </c>
      <c r="I11" s="13"/>
      <c r="J11" s="34"/>
      <c r="K11" s="42"/>
      <c r="L11" s="13">
        <f>+'DEC WKSHT'!K11</f>
        <v>13159297.870000001</v>
      </c>
      <c r="M11" s="13"/>
      <c r="N11" s="34"/>
    </row>
    <row r="12" spans="1:15">
      <c r="A12" s="53"/>
      <c r="B12" s="31"/>
      <c r="C12" s="31" t="str">
        <f>+JUL!C12</f>
        <v>LAW ENFORCEMENT AND FIREFIGHTERS FUND</v>
      </c>
      <c r="D12" s="32"/>
      <c r="E12" s="33"/>
      <c r="F12" s="35"/>
      <c r="G12" s="42"/>
      <c r="H12" s="11">
        <f>+'DEC WKSHT'!H14</f>
        <v>10447684.27</v>
      </c>
      <c r="I12" s="13">
        <f>SUM(H11:H12)</f>
        <v>12518339.92</v>
      </c>
      <c r="J12" s="34"/>
      <c r="K12" s="42"/>
      <c r="L12" s="11">
        <f>+'DEC WKSHT'!K14</f>
        <v>70938158.200000003</v>
      </c>
      <c r="M12" s="13">
        <f>SUM(L11:L12)</f>
        <v>84097456.070000008</v>
      </c>
      <c r="N12" s="34"/>
    </row>
    <row r="13" spans="1:15">
      <c r="A13" s="53"/>
      <c r="B13" s="31" t="str">
        <f>+JUL!B13</f>
        <v>REVENUE REFUNDS</v>
      </c>
      <c r="C13" s="33"/>
      <c r="D13" s="31"/>
      <c r="E13" s="33"/>
      <c r="F13" s="35"/>
      <c r="G13" s="42"/>
      <c r="H13" s="16"/>
      <c r="I13" s="16">
        <f>+'DEC WKSHT'!H21</f>
        <v>-52086.259999999995</v>
      </c>
      <c r="J13" s="35"/>
      <c r="K13" s="42"/>
      <c r="L13" s="16"/>
      <c r="M13" s="16">
        <f>+'DEC WKSHT'!K21</f>
        <v>-62067.27</v>
      </c>
      <c r="N13" s="35"/>
    </row>
    <row r="14" spans="1:15">
      <c r="A14" s="30"/>
      <c r="B14" s="31" t="str">
        <f>+JUL!B14</f>
        <v>UNHONORED CHECKS</v>
      </c>
      <c r="C14" s="33"/>
      <c r="D14" s="32"/>
      <c r="E14" s="33"/>
      <c r="F14" s="35"/>
      <c r="G14" s="42"/>
      <c r="H14" s="16"/>
      <c r="I14" s="16">
        <f>+'DEC WKSHT'!H25</f>
        <v>0</v>
      </c>
      <c r="J14" s="35"/>
      <c r="K14" s="42"/>
      <c r="L14" s="16"/>
      <c r="M14" s="16">
        <f>+'DEC WKSHT'!K25</f>
        <v>0</v>
      </c>
      <c r="N14" s="35"/>
    </row>
    <row r="15" spans="1:15">
      <c r="A15" s="30"/>
      <c r="B15" s="31" t="str">
        <f>+JUL!B15</f>
        <v>RECEIPT ADJUSTMENTS</v>
      </c>
      <c r="C15" s="33"/>
      <c r="D15" s="32"/>
      <c r="E15" s="33"/>
      <c r="F15" s="35"/>
      <c r="G15" s="42"/>
      <c r="H15" s="16"/>
      <c r="I15" s="36">
        <f>+'DEC WKSHT'!H29</f>
        <v>-522.1800000000012</v>
      </c>
      <c r="J15" s="37"/>
      <c r="K15" s="42"/>
      <c r="L15" s="16"/>
      <c r="M15" s="36">
        <f>+'DEC WKSHT'!K29</f>
        <v>-27472.690000000002</v>
      </c>
      <c r="N15" s="37"/>
    </row>
    <row r="16" spans="1:15" ht="13.5" thickBot="1">
      <c r="A16" s="50"/>
      <c r="B16" s="33"/>
      <c r="C16" s="31" t="str">
        <f>+JUL!C16</f>
        <v>NET RECEIPTS TO BE DISTRIBUTED</v>
      </c>
      <c r="D16" s="33"/>
      <c r="E16" s="33"/>
      <c r="F16" s="35"/>
      <c r="G16" s="42"/>
      <c r="H16" s="16"/>
      <c r="I16" s="22">
        <f>SUM(I10:I15)</f>
        <v>12465731.48</v>
      </c>
      <c r="J16" s="56"/>
      <c r="K16" s="42"/>
      <c r="L16" s="16"/>
      <c r="M16" s="22">
        <f>SUM(M10:M15)</f>
        <v>84007916.110000014</v>
      </c>
      <c r="N16" s="56"/>
      <c r="O16" s="2">
        <f>+I16-'DEC WKSHT'!H30</f>
        <v>0</v>
      </c>
    </row>
    <row r="17" spans="1:15" ht="13.5" thickBot="1">
      <c r="A17" s="38"/>
      <c r="B17" s="39"/>
      <c r="C17" s="39"/>
      <c r="D17" s="39"/>
      <c r="E17" s="39"/>
      <c r="F17" s="40"/>
      <c r="G17" s="43"/>
      <c r="H17" s="14"/>
      <c r="I17" s="14"/>
      <c r="J17" s="40"/>
      <c r="K17" s="43"/>
      <c r="L17" s="14"/>
      <c r="M17" s="14"/>
      <c r="N17" s="40"/>
      <c r="O17" s="2">
        <f>+M16-'DEC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+'DEC WKSHT'!K46</f>
        <v>73871638.640000001</v>
      </c>
      <c r="N22" s="35"/>
    </row>
    <row r="23" spans="1:15">
      <c r="A23" s="49"/>
      <c r="B23" s="44"/>
      <c r="C23" s="32"/>
      <c r="D23" s="32"/>
      <c r="E23" s="32"/>
      <c r="F23" s="35"/>
      <c r="G23" s="42"/>
      <c r="H23" s="16"/>
      <c r="I23" s="16"/>
      <c r="J23" s="35"/>
      <c r="K23" s="42"/>
      <c r="L23" s="16"/>
      <c r="M23" s="16"/>
      <c r="N23" s="35"/>
    </row>
    <row r="24" spans="1:15">
      <c r="A24" s="53"/>
      <c r="B24" s="31" t="str">
        <f>+'DEC WKSHT'!B48</f>
        <v>CASH BALANCE NOVEMBER 30, 2023</v>
      </c>
      <c r="C24" s="33"/>
      <c r="D24" s="32"/>
      <c r="E24" s="32"/>
      <c r="F24" s="35"/>
      <c r="G24" s="42"/>
      <c r="H24" s="16"/>
      <c r="I24" s="20">
        <f>+'DEC WKSHT'!H48</f>
        <v>87149804.490000024</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+'DEC WKSHT'!G51</f>
        <v>8149193.71</v>
      </c>
      <c r="I27" s="33"/>
      <c r="J27" s="57"/>
      <c r="K27" s="42"/>
      <c r="L27" s="20">
        <f>+'DEC WKSHT'!J51</f>
        <v>55331763.339999996</v>
      </c>
      <c r="M27" s="33"/>
      <c r="N27" s="57"/>
    </row>
    <row r="28" spans="1:15">
      <c r="A28" s="30"/>
      <c r="B28" s="32"/>
      <c r="C28" s="31" t="str">
        <f>+JUL!C28</f>
        <v>REVENUE REFUNDS:  PRIOR YEAR</v>
      </c>
      <c r="D28" s="32"/>
      <c r="E28" s="32"/>
      <c r="F28" s="35"/>
      <c r="G28" s="42"/>
      <c r="H28" s="16">
        <f>+'DEC WKSHT'!G52</f>
        <v>0</v>
      </c>
      <c r="I28" s="33"/>
      <c r="J28" s="57"/>
      <c r="K28" s="42"/>
      <c r="L28" s="16">
        <f>+'DEC WKSHT'!J52</f>
        <v>0</v>
      </c>
      <c r="M28" s="33"/>
      <c r="N28" s="57"/>
    </row>
    <row r="29" spans="1:15">
      <c r="A29" s="30"/>
      <c r="B29" s="32"/>
      <c r="C29" s="31" t="str">
        <f>+JUL!C29</f>
        <v>REVENUE REFUNDS:  CURRENT YEAR</v>
      </c>
      <c r="D29" s="32"/>
      <c r="E29" s="32"/>
      <c r="F29" s="35"/>
      <c r="G29" s="42"/>
      <c r="H29" s="16">
        <f>+'DEC WKSHT'!G53</f>
        <v>-714.98</v>
      </c>
      <c r="I29" s="33"/>
      <c r="J29" s="57"/>
      <c r="K29" s="42"/>
      <c r="L29" s="16">
        <f>+'DEC WKSHT'!J53</f>
        <v>-7785.2000000000007</v>
      </c>
      <c r="M29" s="33"/>
      <c r="N29" s="57"/>
    </row>
    <row r="30" spans="1:15">
      <c r="A30" s="30"/>
      <c r="B30" s="32"/>
      <c r="C30" s="31" t="str">
        <f>+JUL!C30</f>
        <v>REFUND OF PRIOR YEAR DISBURSEMENTS</v>
      </c>
      <c r="D30" s="32"/>
      <c r="E30" s="32"/>
      <c r="F30" s="35"/>
      <c r="G30" s="42"/>
      <c r="H30" s="16">
        <f>+'DEC WKSHT'!G54</f>
        <v>0</v>
      </c>
      <c r="I30" s="33"/>
      <c r="J30" s="57"/>
      <c r="K30" s="42"/>
      <c r="L30" s="16">
        <f>+'DEC WKSHT'!J54</f>
        <v>0</v>
      </c>
      <c r="M30" s="33"/>
      <c r="N30" s="57"/>
    </row>
    <row r="31" spans="1:15">
      <c r="A31" s="30"/>
      <c r="B31" s="32"/>
      <c r="C31" s="31" t="str">
        <f>+JUL!C31</f>
        <v>UNHONORED CHECKS</v>
      </c>
      <c r="D31" s="32"/>
      <c r="E31" s="32"/>
      <c r="F31" s="35"/>
      <c r="G31" s="42"/>
      <c r="H31" s="16">
        <f>+'DEC WKSHT'!G55</f>
        <v>0</v>
      </c>
      <c r="I31" s="33"/>
      <c r="J31" s="57"/>
      <c r="K31" s="42"/>
      <c r="L31" s="16">
        <f>+'DEC WKSHT'!J55</f>
        <v>0</v>
      </c>
      <c r="M31" s="33"/>
      <c r="N31" s="57"/>
    </row>
    <row r="32" spans="1:15">
      <c r="A32" s="30"/>
      <c r="B32" s="32"/>
      <c r="C32" s="31" t="str">
        <f>+JUL!C32</f>
        <v>RECEIPT ADJUSTMENTS</v>
      </c>
      <c r="D32" s="32"/>
      <c r="E32" s="32"/>
      <c r="F32" s="35"/>
      <c r="G32" s="42"/>
      <c r="H32" s="11">
        <f>+'DEC WKSHT'!G56</f>
        <v>9137.3799999999992</v>
      </c>
      <c r="I32" s="16">
        <f>SUM(H27:H32)</f>
        <v>8157616.1099999994</v>
      </c>
      <c r="J32" s="35"/>
      <c r="K32" s="42"/>
      <c r="L32" s="11">
        <f>+'DEC WKSHT'!J56</f>
        <v>498394.5</v>
      </c>
      <c r="M32" s="16">
        <f>SUM(L27:L32)</f>
        <v>55822372.639999993</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+'DEC WKSHT'!H58</f>
        <v>379328.1</v>
      </c>
      <c r="J34" s="35"/>
      <c r="K34" s="42"/>
      <c r="L34" s="16"/>
      <c r="M34" s="16">
        <f>+'DEC WKSHT'!K58</f>
        <v>1997581.73</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+'DEC WKSHT'!H60</f>
        <v>0</v>
      </c>
      <c r="J36" s="35"/>
      <c r="K36" s="42"/>
      <c r="L36" s="16"/>
      <c r="M36" s="16">
        <f>+'DEC WKSHT'!K60</f>
        <v>6110.11</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+'DEC WKSHT'!H64</f>
        <v>5103912.400000006</v>
      </c>
      <c r="J38" s="35"/>
      <c r="K38" s="42"/>
      <c r="L38" s="16"/>
      <c r="M38" s="11">
        <f>+'DEC WKSHT'!K64</f>
        <v>41114866.82</v>
      </c>
      <c r="N38" s="35"/>
    </row>
    <row r="39" spans="1:15">
      <c r="A39" s="30"/>
      <c r="B39" s="32"/>
      <c r="C39" s="32"/>
      <c r="D39" s="32"/>
      <c r="E39" s="32"/>
      <c r="F39" s="35"/>
      <c r="G39" s="42"/>
      <c r="H39" s="16"/>
      <c r="I39" s="16"/>
      <c r="J39" s="35"/>
      <c r="K39" s="42"/>
      <c r="L39" s="16"/>
      <c r="M39" s="16"/>
      <c r="N39" s="35"/>
    </row>
    <row r="40" spans="1:15" ht="13.5" thickBot="1">
      <c r="A40" s="53"/>
      <c r="B40" s="31" t="str">
        <f>+'DEC WKSHT'!B66</f>
        <v>CASH BALANCE DECEMBER 31, 2023</v>
      </c>
      <c r="C40" s="32"/>
      <c r="D40" s="32"/>
      <c r="E40" s="32"/>
      <c r="F40" s="35"/>
      <c r="G40" s="42"/>
      <c r="H40" s="16"/>
      <c r="I40" s="21">
        <f>+I24+I32+I34+I36-I38</f>
        <v>90582836.300000012</v>
      </c>
      <c r="J40" s="56"/>
      <c r="K40" s="42"/>
      <c r="L40" s="16"/>
      <c r="M40" s="21">
        <f>+M22+M32+M34+M36-M38</f>
        <v>90582836.300000012</v>
      </c>
      <c r="N40" s="56"/>
      <c r="O40" s="2">
        <f>+I40-'DEC WKSHT'!H66</f>
        <v>0</v>
      </c>
    </row>
    <row r="41" spans="1:15" ht="13.5" thickBot="1">
      <c r="A41" s="38"/>
      <c r="B41" s="39"/>
      <c r="C41" s="39"/>
      <c r="D41" s="39"/>
      <c r="E41" s="39"/>
      <c r="F41" s="40"/>
      <c r="G41" s="43"/>
      <c r="H41" s="14"/>
      <c r="I41" s="14"/>
      <c r="J41" s="40"/>
      <c r="K41" s="43"/>
      <c r="L41" s="14"/>
      <c r="M41" s="14"/>
      <c r="N41" s="40"/>
      <c r="O41" s="2">
        <f>+M40-'DEC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+'DEC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NOVEMBER 30, 2023</v>
      </c>
      <c r="C48" s="32"/>
      <c r="D48" s="32"/>
      <c r="E48" s="32"/>
      <c r="F48" s="61"/>
      <c r="G48" s="42"/>
      <c r="H48" s="16"/>
      <c r="I48" s="20">
        <f>+'DEC WKSHT'!H71</f>
        <v>40834755.579999998</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+'DEC WKSHT'!G76</f>
        <v>4369146.21</v>
      </c>
      <c r="I51" s="33"/>
      <c r="J51" s="57"/>
      <c r="K51" s="42"/>
      <c r="L51" s="20">
        <f>+'DEC WKSHT'!J76</f>
        <v>28765692.73</v>
      </c>
      <c r="M51" s="33"/>
      <c r="N51" s="57"/>
    </row>
    <row r="52" spans="1:15">
      <c r="A52" s="30"/>
      <c r="B52" s="31"/>
      <c r="C52" s="31" t="str">
        <f>+JUL!C52</f>
        <v>REVENUE REFUNDS:  PRIOR YEAR</v>
      </c>
      <c r="D52" s="32"/>
      <c r="E52" s="32"/>
      <c r="F52" s="61"/>
      <c r="G52" s="42"/>
      <c r="H52" s="16">
        <f>+'DEC WKSHT'!G77</f>
        <v>0</v>
      </c>
      <c r="I52" s="33"/>
      <c r="J52" s="57"/>
      <c r="K52" s="42"/>
      <c r="L52" s="16">
        <f>+'DEC WKSHT'!J77</f>
        <v>0</v>
      </c>
      <c r="M52" s="33"/>
      <c r="N52" s="57"/>
    </row>
    <row r="53" spans="1:15">
      <c r="A53" s="30"/>
      <c r="B53" s="32"/>
      <c r="C53" s="31" t="str">
        <f>+JUL!C53</f>
        <v>REVENUE REFUNDS:  CURRENT YEAR</v>
      </c>
      <c r="D53" s="32"/>
      <c r="E53" s="32"/>
      <c r="F53" s="61"/>
      <c r="G53" s="42"/>
      <c r="H53" s="16">
        <f>+'DEC WKSHT'!G78</f>
        <v>-201.66</v>
      </c>
      <c r="I53" s="33"/>
      <c r="J53" s="57"/>
      <c r="K53" s="42"/>
      <c r="L53" s="16">
        <f>+'DEC WKSHT'!J78</f>
        <v>-2195.81</v>
      </c>
      <c r="M53" s="33"/>
      <c r="N53" s="57"/>
    </row>
    <row r="54" spans="1:15">
      <c r="A54" s="30"/>
      <c r="B54" s="31"/>
      <c r="C54" s="31" t="str">
        <f>+JUL!C54</f>
        <v>REFUND OF PRIOR YEAR DISBURSEMENTS</v>
      </c>
      <c r="D54" s="32"/>
      <c r="E54" s="32"/>
      <c r="F54" s="61"/>
      <c r="G54" s="42"/>
      <c r="H54" s="16">
        <f>+'DEC WKSHT'!G79</f>
        <v>0</v>
      </c>
      <c r="I54" s="33"/>
      <c r="J54" s="57"/>
      <c r="K54" s="42"/>
      <c r="L54" s="16">
        <f>+'DEC WKSHT'!J79</f>
        <v>0</v>
      </c>
      <c r="M54" s="33"/>
      <c r="N54" s="57"/>
    </row>
    <row r="55" spans="1:15">
      <c r="A55" s="30"/>
      <c r="B55" s="32"/>
      <c r="C55" s="31" t="str">
        <f>+JUL!C55</f>
        <v>UNHONORED CHECKS</v>
      </c>
      <c r="D55" s="32"/>
      <c r="E55" s="32"/>
      <c r="F55" s="61"/>
      <c r="G55" s="42"/>
      <c r="H55" s="16">
        <f>+'DEC WKSHT'!G80</f>
        <v>0</v>
      </c>
      <c r="I55" s="33"/>
      <c r="J55" s="57"/>
      <c r="K55" s="42"/>
      <c r="L55" s="16">
        <f>+'DEC WKSHT'!J80</f>
        <v>0</v>
      </c>
      <c r="M55" s="33"/>
      <c r="N55" s="57"/>
    </row>
    <row r="56" spans="1:15">
      <c r="A56" s="30"/>
      <c r="B56" s="32"/>
      <c r="C56" s="31" t="str">
        <f>+JUL!C56</f>
        <v>RECEIPT ADJUSTMENTS</v>
      </c>
      <c r="D56" s="32"/>
      <c r="E56" s="32"/>
      <c r="F56" s="61"/>
      <c r="G56" s="42"/>
      <c r="H56" s="11">
        <f>+'DEC WKSHT'!G81</f>
        <v>-10369.65</v>
      </c>
      <c r="I56" s="16">
        <f>SUM(H51:H56)</f>
        <v>4358574.8999999994</v>
      </c>
      <c r="J56" s="35"/>
      <c r="K56" s="42"/>
      <c r="L56" s="11">
        <f>+'DEC WKSHT'!J81</f>
        <v>-525867.18999999994</v>
      </c>
      <c r="M56" s="16">
        <f>SUM(L51:L56)</f>
        <v>28237629.73</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+'DEC WKSHT'!H83</f>
        <v>284941.75</v>
      </c>
      <c r="J58" s="35"/>
      <c r="K58" s="42"/>
      <c r="L58" s="16"/>
      <c r="M58" s="16">
        <f>+'DEC WKSHT'!K83</f>
        <v>1133238.54</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+'DEC WKSHT'!H85</f>
        <v>0</v>
      </c>
      <c r="J60" s="35"/>
      <c r="K60" s="42"/>
      <c r="L60" s="16"/>
      <c r="M60" s="16">
        <f>+'DEC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+'DEC WKSHT'!H87</f>
        <v>6701481.2699999996</v>
      </c>
      <c r="J62" s="35"/>
      <c r="K62" s="42"/>
      <c r="L62" s="16"/>
      <c r="M62" s="11">
        <f>+'DEC WKSHT'!K87</f>
        <v>29207062.52</v>
      </c>
      <c r="N62" s="35"/>
    </row>
    <row r="63" spans="1:15">
      <c r="A63" s="30"/>
      <c r="B63" s="32"/>
      <c r="C63" s="32"/>
      <c r="D63" s="32"/>
      <c r="E63" s="32"/>
      <c r="F63" s="61"/>
      <c r="G63" s="42"/>
      <c r="H63" s="16"/>
      <c r="I63" s="16"/>
      <c r="J63" s="35"/>
      <c r="K63" s="42"/>
      <c r="L63" s="16"/>
      <c r="M63" s="16"/>
      <c r="N63" s="35"/>
      <c r="O63" s="2">
        <f>+I64-'DEC WKSHT'!H89</f>
        <v>0</v>
      </c>
    </row>
    <row r="64" spans="1:15" ht="13.5" thickBot="1">
      <c r="A64" s="30">
        <f>+A38</f>
        <v>0</v>
      </c>
      <c r="B64" s="31" t="str">
        <f>+B40</f>
        <v>CASH BALANCE DECEMBER 31, 2023</v>
      </c>
      <c r="C64" s="32"/>
      <c r="D64" s="32"/>
      <c r="E64" s="32"/>
      <c r="F64" s="61"/>
      <c r="G64" s="42"/>
      <c r="H64" s="16"/>
      <c r="I64" s="21">
        <f>+I48+I56+I58+I60-I62</f>
        <v>38776790.959999993</v>
      </c>
      <c r="J64" s="56"/>
      <c r="K64" s="42"/>
      <c r="L64" s="16"/>
      <c r="M64" s="21">
        <f>+M46+M56+M58+M60-M62</f>
        <v>38776790.960000008</v>
      </c>
      <c r="N64" s="56"/>
      <c r="O64" s="2">
        <f>+M64-'DEC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6"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96"/>
  <sheetViews>
    <sheetView topLeftCell="B33" zoomScaleNormal="100" workbookViewId="0">
      <selection activeCell="J98" sqref="J98"/>
    </sheetView>
  </sheetViews>
  <sheetFormatPr defaultColWidth="9.140625" defaultRowHeight="12.75"/>
  <cols>
    <col min="1" max="3" width="3.7109375" style="6" customWidth="1"/>
    <col min="4" max="4" width="8.28515625" style="6" customWidth="1"/>
    <col min="5" max="5" width="29.7109375" style="6" customWidth="1"/>
    <col min="6" max="6" width="14.7109375" style="2" customWidth="1"/>
    <col min="7" max="8" width="14.5703125" style="2" customWidth="1"/>
    <col min="9" max="9" width="1.7109375" style="2" customWidth="1"/>
    <col min="10" max="11" width="14.5703125" style="2" customWidth="1"/>
    <col min="12" max="12" width="19.28515625" style="2" customWidth="1"/>
    <col min="13" max="13" width="14" style="2" bestFit="1" customWidth="1"/>
    <col min="14" max="14" width="9.140625" style="2"/>
    <col min="15" max="15" width="22.42578125" style="2" customWidth="1"/>
    <col min="16" max="17" width="15.28515625" style="2" customWidth="1"/>
    <col min="18" max="18" width="20.5703125" style="2" customWidth="1"/>
    <col min="19" max="16384" width="9.140625" style="2"/>
  </cols>
  <sheetData>
    <row r="1" spans="1:14" ht="15">
      <c r="A1" s="58" t="s">
        <v>0</v>
      </c>
      <c r="B1" s="3"/>
      <c r="C1" s="3"/>
      <c r="D1" s="3"/>
      <c r="E1" s="3"/>
      <c r="F1" s="3"/>
      <c r="G1" s="3"/>
      <c r="H1" s="3"/>
      <c r="I1" s="3"/>
      <c r="J1" s="3"/>
      <c r="K1" s="3"/>
    </row>
    <row r="2" spans="1:14" ht="15">
      <c r="A2" s="59" t="s">
        <v>1</v>
      </c>
      <c r="B2" s="3"/>
      <c r="C2" s="3"/>
      <c r="D2" s="3"/>
      <c r="E2" s="3"/>
      <c r="F2" s="3"/>
      <c r="G2" s="3"/>
      <c r="H2" s="3"/>
      <c r="I2" s="3"/>
      <c r="J2" s="3"/>
      <c r="K2" s="3"/>
    </row>
    <row r="3" spans="1:14" ht="15">
      <c r="A3" s="58" t="s">
        <v>2</v>
      </c>
      <c r="B3" s="3"/>
      <c r="C3" s="3"/>
      <c r="D3" s="3"/>
      <c r="E3" s="3"/>
      <c r="F3" s="3"/>
      <c r="G3" s="3"/>
      <c r="H3" s="3"/>
      <c r="I3" s="3"/>
      <c r="J3" s="3"/>
      <c r="K3" s="3"/>
    </row>
    <row r="4" spans="1:14" ht="15">
      <c r="A4" s="137" t="s">
        <v>103</v>
      </c>
      <c r="B4" s="143"/>
      <c r="C4" s="143"/>
      <c r="D4" s="143"/>
      <c r="E4" s="143"/>
      <c r="F4" s="143"/>
      <c r="G4"/>
      <c r="H4" s="3"/>
      <c r="I4" s="3"/>
      <c r="J4" s="3"/>
      <c r="K4" s="3"/>
    </row>
    <row r="5" spans="1:14" ht="4.9000000000000004" customHeight="1" thickBot="1">
      <c r="A5" s="17"/>
      <c r="B5" s="17"/>
      <c r="C5" s="17"/>
      <c r="D5" s="17"/>
      <c r="E5" s="17"/>
      <c r="F5" s="17"/>
      <c r="G5" s="17"/>
      <c r="H5" s="17"/>
      <c r="I5" s="17"/>
      <c r="J5" s="17"/>
      <c r="K5" s="17"/>
    </row>
    <row r="7" spans="1:14">
      <c r="B7" s="4"/>
      <c r="C7" s="4"/>
      <c r="D7" s="4"/>
      <c r="G7" s="5" t="s">
        <v>3</v>
      </c>
      <c r="H7" s="5"/>
      <c r="I7" s="12"/>
      <c r="J7" s="5" t="s">
        <v>4</v>
      </c>
      <c r="K7" s="76"/>
      <c r="L7" s="64" t="s">
        <v>5</v>
      </c>
    </row>
    <row r="8" spans="1:14">
      <c r="A8" s="9" t="str">
        <f>+'DEC WKSHT'!A8</f>
        <v>DEPARTMENT OF REVENUE SURTAX RECEIPTS COLLECTED (14E6-130-D130-R000-R284, R285, R286)</v>
      </c>
    </row>
    <row r="9" spans="1:14">
      <c r="B9" s="7" t="str">
        <f>+'DEC WKSHT'!B9</f>
        <v>GROSS RECEIPTS (REVENUE DISTRIBUTION)</v>
      </c>
      <c r="C9" s="7"/>
      <c r="E9" s="2"/>
    </row>
    <row r="10" spans="1:14">
      <c r="B10" s="7"/>
      <c r="C10" s="7" t="str">
        <f>+'DEC WKSHT'!C10</f>
        <v>VOLUNTEER FIRE DEPARTMENT AID</v>
      </c>
      <c r="E10" s="2"/>
    </row>
    <row r="11" spans="1:14">
      <c r="D11" s="7" t="str">
        <f>+'DEC WKSHT'!D11</f>
        <v>R284 Volunteer Fire Dept Aid Fund</v>
      </c>
      <c r="E11" s="2"/>
      <c r="H11" s="132">
        <v>2041200.24</v>
      </c>
      <c r="K11" s="74">
        <f>+H11+'DEC WKSHT'!K11</f>
        <v>15200498.110000001</v>
      </c>
    </row>
    <row r="12" spans="1:14">
      <c r="C12" s="7" t="str">
        <f>+'DEC WKSHT'!C12</f>
        <v>LAW ENFORCEMENT AND FIREFIGHTERS FUND</v>
      </c>
      <c r="E12" s="2"/>
      <c r="G12" s="74"/>
      <c r="J12" s="74"/>
    </row>
    <row r="13" spans="1:14">
      <c r="D13" s="7" t="str">
        <f>+'DEC WKSHT'!D13</f>
        <v>R285 Law Enforcement Fund</v>
      </c>
      <c r="E13" s="2"/>
      <c r="F13" s="74"/>
      <c r="G13" s="132">
        <v>8592026.4000000004</v>
      </c>
      <c r="J13" s="74">
        <f>+G13+'DEC WKSHT'!J13</f>
        <v>63923789.739999995</v>
      </c>
    </row>
    <row r="14" spans="1:14">
      <c r="D14" s="7" t="str">
        <f>+'DEC WKSHT'!D14</f>
        <v>R286 Firefighters Fund</v>
      </c>
      <c r="E14" s="2"/>
      <c r="G14" s="130">
        <v>2423392.09</v>
      </c>
      <c r="H14" s="11">
        <f>SUM(G13:G14)</f>
        <v>11015418.49</v>
      </c>
      <c r="I14" s="74"/>
      <c r="J14" s="11">
        <f>+G14+'DEC WKSHT'!J14</f>
        <v>18029786.950000003</v>
      </c>
      <c r="K14" s="11">
        <f>SUM(J13:J14)</f>
        <v>81953576.689999998</v>
      </c>
    </row>
    <row r="15" spans="1:14">
      <c r="E15" s="2"/>
      <c r="G15" s="65"/>
      <c r="H15" s="74">
        <f>SUM(H11:H14)</f>
        <v>13056618.73</v>
      </c>
      <c r="I15" s="74"/>
      <c r="J15" s="16"/>
      <c r="K15" s="74">
        <f>SUM(K11:K14)</f>
        <v>97154074.799999997</v>
      </c>
      <c r="L15" s="2">
        <f>+J51+J76-K15</f>
        <v>-3999449.2900000066</v>
      </c>
    </row>
    <row r="16" spans="1:14">
      <c r="E16" s="2"/>
      <c r="G16" s="65"/>
      <c r="H16" s="74"/>
      <c r="I16" s="74"/>
      <c r="J16" s="16"/>
      <c r="K16" s="74"/>
      <c r="L16" s="16"/>
      <c r="M16" s="16"/>
      <c r="N16" s="16"/>
    </row>
    <row r="17" spans="2:16">
      <c r="B17" s="7" t="str">
        <f>+'DEC WKSHT'!B17</f>
        <v>OTHER DISTRIBUTIONS (review JVs other than Revenue Distribution)</v>
      </c>
      <c r="E17" s="2"/>
      <c r="G17" s="19"/>
      <c r="H17" s="74"/>
      <c r="I17" s="74"/>
      <c r="K17" s="74"/>
      <c r="L17" s="16"/>
      <c r="M17" s="16"/>
      <c r="N17" s="16"/>
    </row>
    <row r="18" spans="2:16">
      <c r="B18" s="2"/>
      <c r="C18" s="7" t="str">
        <f>+'DEC WKSHT'!C18</f>
        <v>REVENUE REFUNDS</v>
      </c>
      <c r="D18" s="7"/>
      <c r="E18" s="2"/>
      <c r="L18" s="16"/>
      <c r="M18" s="16"/>
      <c r="N18" s="16"/>
    </row>
    <row r="19" spans="2:16">
      <c r="B19" s="2"/>
      <c r="C19" s="7"/>
      <c r="D19" s="7" t="str">
        <f>+'DEC WKSHT'!D19</f>
        <v>R284</v>
      </c>
      <c r="E19" s="2"/>
      <c r="G19" s="131"/>
      <c r="J19" s="74">
        <f>+G19+'DEC WKSHT'!J19</f>
        <v>0</v>
      </c>
    </row>
    <row r="20" spans="2:16">
      <c r="B20" s="2"/>
      <c r="C20" s="7"/>
      <c r="D20" s="7" t="str">
        <f>+'DEC WKSHT'!D20</f>
        <v>R285</v>
      </c>
      <c r="E20" s="2"/>
      <c r="G20" s="133">
        <v>-528.97</v>
      </c>
      <c r="J20" s="2">
        <f>+G20+'DEC WKSHT'!J20</f>
        <v>-48941.45</v>
      </c>
    </row>
    <row r="21" spans="2:16">
      <c r="B21" s="2"/>
      <c r="C21" s="7"/>
      <c r="D21" s="7" t="str">
        <f>+'DEC WKSHT'!D21</f>
        <v>R286</v>
      </c>
      <c r="E21" s="2"/>
      <c r="G21" s="130">
        <v>-149.19999999999999</v>
      </c>
      <c r="H21" s="2">
        <f>SUM(G19:G21)</f>
        <v>-678.17000000000007</v>
      </c>
      <c r="J21" s="11">
        <f>+G21+'DEC WKSHT'!J21</f>
        <v>-13803.99</v>
      </c>
      <c r="K21" s="2">
        <f ca="1">+J52+J53+J77+J78-K21</f>
        <v>0</v>
      </c>
      <c r="L21" s="2">
        <f ca="1">+J52+J53+J77+J78-K21</f>
        <v>678.16999999999825</v>
      </c>
    </row>
    <row r="22" spans="2:16">
      <c r="B22" s="2"/>
      <c r="C22" s="7" t="str">
        <f>+'DEC WKSHT'!C22</f>
        <v>UNHONORED CHECKS</v>
      </c>
      <c r="E22" s="2"/>
    </row>
    <row r="23" spans="2:16">
      <c r="B23" s="2"/>
      <c r="D23" s="7" t="str">
        <f>+'DEC WKSHT'!D23</f>
        <v>R284</v>
      </c>
      <c r="E23" s="2"/>
      <c r="G23" s="131"/>
      <c r="J23" s="74">
        <f>+G23+'DEC WKSHT'!J23</f>
        <v>0</v>
      </c>
    </row>
    <row r="24" spans="2:16">
      <c r="B24" s="2"/>
      <c r="D24" s="7" t="str">
        <f>+'DEC WKSHT'!D24</f>
        <v>R285</v>
      </c>
      <c r="E24" s="2"/>
      <c r="G24" s="133"/>
      <c r="J24" s="2">
        <f>+G24+'DEC WKSHT'!J24</f>
        <v>0</v>
      </c>
    </row>
    <row r="25" spans="2:16">
      <c r="B25" s="2"/>
      <c r="D25" s="7" t="str">
        <f>+'DEC WKSHT'!D25</f>
        <v>R286</v>
      </c>
      <c r="E25" s="2"/>
      <c r="G25" s="130"/>
      <c r="H25" s="2">
        <f>SUM(G23:G25)</f>
        <v>0</v>
      </c>
      <c r="J25" s="11">
        <f>+G25+'DEC WKSHT'!J25</f>
        <v>0</v>
      </c>
      <c r="K25" s="2">
        <f>SUM(J23:J25)</f>
        <v>0</v>
      </c>
      <c r="L25" s="2">
        <f>+J55+J80-K25</f>
        <v>0</v>
      </c>
    </row>
    <row r="26" spans="2:16">
      <c r="B26" s="2"/>
      <c r="C26" s="7" t="str">
        <f>+'DEC WKSHT'!C26</f>
        <v>RECEIPT ADJUSTMENTS</v>
      </c>
      <c r="E26" s="2"/>
      <c r="H26" s="8"/>
      <c r="I26" s="8"/>
    </row>
    <row r="27" spans="2:16">
      <c r="B27" s="2"/>
      <c r="D27" s="7" t="str">
        <f>+'DEC WKSHT'!D27</f>
        <v>R284</v>
      </c>
      <c r="F27"/>
      <c r="G27" s="165">
        <v>-30792.21</v>
      </c>
      <c r="J27" s="74">
        <f>+G27+'DEC WKSHT'!J27</f>
        <v>-697232.2</v>
      </c>
    </row>
    <row r="28" spans="2:16">
      <c r="B28" s="2"/>
      <c r="D28" s="7" t="str">
        <f>+'DEC WKSHT'!D28</f>
        <v>R285</v>
      </c>
      <c r="F28"/>
      <c r="G28" s="164">
        <v>28404.19</v>
      </c>
      <c r="J28" s="2">
        <f>+G28+'DEC WKSHT'!J28</f>
        <v>526798.68999999994</v>
      </c>
      <c r="P28" s="2" t="s">
        <v>32</v>
      </c>
    </row>
    <row r="29" spans="2:16">
      <c r="B29" s="2"/>
      <c r="D29" s="7" t="str">
        <f>+'DEC WKSHT'!D29</f>
        <v>R286</v>
      </c>
      <c r="F29"/>
      <c r="G29" s="205">
        <v>8011.45</v>
      </c>
      <c r="H29" s="11">
        <f>SUM(G27:G29)</f>
        <v>5623.4299999999994</v>
      </c>
      <c r="J29" s="11">
        <f>+G29+'DEC WKSHT'!J29</f>
        <v>148584.25</v>
      </c>
      <c r="K29" s="11">
        <f>SUM(J27:J29)</f>
        <v>-21849.260000000009</v>
      </c>
      <c r="L29" s="2">
        <f>+J56+J81-K29</f>
        <v>-5779.5799999998999</v>
      </c>
    </row>
    <row r="30" spans="2:16" ht="13.5" thickBot="1">
      <c r="B30" s="2"/>
      <c r="D30" s="7" t="str">
        <f>+'DEC WKSHT'!D30</f>
        <v>NET RECEIPTS TO BE DISTRIBUTED</v>
      </c>
      <c r="E30" s="2"/>
      <c r="H30" s="78">
        <f>SUM(H15:H29)</f>
        <v>13061563.99</v>
      </c>
      <c r="I30" s="65"/>
      <c r="K30" s="78">
        <f ca="1">SUM(K15:K29)</f>
        <v>97069480.099999994</v>
      </c>
    </row>
    <row r="32" spans="2:16">
      <c r="B32" s="7" t="str">
        <f>+'DEC WKSHT'!B32</f>
        <v>TOTAL</v>
      </c>
      <c r="D32" s="2"/>
    </row>
    <row r="33" spans="1:12">
      <c r="C33" s="7" t="str">
        <f>+'DEC WKSHT'!C33</f>
        <v>R284</v>
      </c>
      <c r="D33" s="2"/>
      <c r="E33" s="82" t="s">
        <v>57</v>
      </c>
      <c r="G33" s="74">
        <f>+G27+G23+G19+H11</f>
        <v>2010408.03</v>
      </c>
      <c r="J33" s="74">
        <f>+J27+J23+J19+K11</f>
        <v>14503265.910000002</v>
      </c>
      <c r="L33" s="8"/>
    </row>
    <row r="34" spans="1:12">
      <c r="C34" s="7" t="str">
        <f>+'DEC WKSHT'!C34</f>
        <v>R285</v>
      </c>
      <c r="D34" s="2"/>
      <c r="G34" s="2">
        <f>+G28+G24+G20+G13</f>
        <v>8619901.620000001</v>
      </c>
      <c r="J34" s="2">
        <f>+J28+J24+J20+J13</f>
        <v>64401646.979999997</v>
      </c>
    </row>
    <row r="35" spans="1:12">
      <c r="C35" s="7" t="str">
        <f>+'DEC WKSHT'!C35</f>
        <v>R286</v>
      </c>
      <c r="D35" s="2"/>
      <c r="G35" s="11">
        <f>+G29+G25+G21+G14</f>
        <v>2431254.34</v>
      </c>
      <c r="H35" s="74">
        <f>SUM(G33:G35)</f>
        <v>13061563.99</v>
      </c>
      <c r="J35" s="11">
        <f>+J29+J25+J21+J14</f>
        <v>18164567.210000005</v>
      </c>
      <c r="K35" s="74">
        <f>SUM(J33:J35)</f>
        <v>97069480.100000009</v>
      </c>
    </row>
    <row r="36" spans="1:12" ht="12.75" customHeight="1"/>
    <row r="37" spans="1:12" ht="15">
      <c r="C37" s="212" t="s">
        <v>60</v>
      </c>
      <c r="D37" s="212"/>
      <c r="E37" s="212"/>
      <c r="F37" s="212"/>
      <c r="G37" s="229" t="s">
        <v>61</v>
      </c>
      <c r="H37" s="229">
        <v>2400001281</v>
      </c>
      <c r="K37" s="170"/>
      <c r="L37" s="171"/>
    </row>
    <row r="38" spans="1:12" ht="12.75" customHeight="1">
      <c r="C38" s="212"/>
      <c r="D38" s="227"/>
      <c r="E38" s="212" t="s">
        <v>59</v>
      </c>
      <c r="F38" s="212"/>
      <c r="G38" s="212"/>
      <c r="H38" s="165">
        <f>G39+G40+G41</f>
        <v>678.17000000000007</v>
      </c>
    </row>
    <row r="39" spans="1:12" ht="12.75" customHeight="1">
      <c r="C39" s="212"/>
      <c r="D39" s="227"/>
      <c r="E39" s="227" t="s">
        <v>66</v>
      </c>
      <c r="F39" s="212"/>
      <c r="G39" s="212">
        <f>-G19</f>
        <v>0</v>
      </c>
      <c r="H39" s="165"/>
    </row>
    <row r="40" spans="1:12" ht="12.75" customHeight="1">
      <c r="C40" s="212"/>
      <c r="D40" s="212"/>
      <c r="E40" s="227" t="s">
        <v>65</v>
      </c>
      <c r="F40" s="227"/>
      <c r="G40" s="165">
        <f>-G20</f>
        <v>528.97</v>
      </c>
      <c r="H40" s="212"/>
      <c r="J40" s="404"/>
      <c r="K40" s="404"/>
      <c r="L40" s="404"/>
    </row>
    <row r="41" spans="1:12">
      <c r="C41" s="212"/>
      <c r="D41" s="212"/>
      <c r="E41" s="227" t="s">
        <v>66</v>
      </c>
      <c r="F41" s="212"/>
      <c r="G41" s="212">
        <f>-G21</f>
        <v>149.19999999999999</v>
      </c>
      <c r="H41" s="212"/>
    </row>
    <row r="42" spans="1:12">
      <c r="C42" s="259" t="s">
        <v>72</v>
      </c>
      <c r="D42" s="212"/>
      <c r="E42" s="227"/>
      <c r="F42" s="275"/>
      <c r="G42" s="275"/>
      <c r="H42" s="275"/>
    </row>
    <row r="43" spans="1:12">
      <c r="C43" s="212"/>
      <c r="D43" s="212"/>
      <c r="E43" s="227"/>
      <c r="F43" s="212"/>
      <c r="G43" s="275"/>
      <c r="H43" s="275"/>
    </row>
    <row r="44" spans="1:12">
      <c r="E44" s="7"/>
    </row>
    <row r="45" spans="1:12">
      <c r="A45" s="70" t="str">
        <f>+'DEC WKSHT'!A45</f>
        <v>LAW ENFORCEMENT FOUNDATION FUND (13DB-525-0000)</v>
      </c>
    </row>
    <row r="46" spans="1:12">
      <c r="A46" s="9"/>
      <c r="B46" s="7" t="str">
        <f>+'DEC WKSHT'!B46</f>
        <v>BALANCE FORWARDED FROM FISCAL YEAR 2023</v>
      </c>
      <c r="K46" s="74">
        <f>+'DEC WKSHT'!K46</f>
        <v>73871638.640000001</v>
      </c>
    </row>
    <row r="47" spans="1:12">
      <c r="A47" s="9"/>
      <c r="K47" s="74"/>
      <c r="L47" s="69"/>
    </row>
    <row r="48" spans="1:12">
      <c r="B48" s="10" t="str">
        <f>+'DEC WKSHT'!B66</f>
        <v>CASH BALANCE DECEMBER 31, 2023</v>
      </c>
      <c r="H48" s="108">
        <f>+'DEC WKSHT'!H66</f>
        <v>90582836.300000012</v>
      </c>
      <c r="I48" s="74"/>
      <c r="L48" s="110"/>
    </row>
    <row r="49" spans="2:20">
      <c r="B49" s="7"/>
      <c r="H49" s="74"/>
      <c r="I49" s="74"/>
      <c r="L49" s="110"/>
    </row>
    <row r="50" spans="2:20">
      <c r="B50" s="7" t="str">
        <f>+'DEC WKSHT'!B50</f>
        <v>REVENUE DISTRIBUTION INCOME (REVENUE DETAIL WORKSHEET):</v>
      </c>
      <c r="H50" s="67" t="s">
        <v>63</v>
      </c>
      <c r="K50" s="67" t="s">
        <v>63</v>
      </c>
      <c r="L50" s="243"/>
    </row>
    <row r="51" spans="2:20">
      <c r="C51" s="7" t="str">
        <f>+'DEC WKSHT'!C51</f>
        <v>REVENUE DISTRIBUTION (N114)</v>
      </c>
      <c r="G51" s="132">
        <v>5475831.1399999997</v>
      </c>
      <c r="H51" s="66">
        <f>+H14*0.78</f>
        <v>8592026.4221999999</v>
      </c>
      <c r="J51" s="74">
        <f>+G51+'DEC WKSHT'!J51</f>
        <v>60807594.479999997</v>
      </c>
      <c r="K51" s="66">
        <f>+K14*0.78</f>
        <v>63923789.8182</v>
      </c>
      <c r="L51" s="151"/>
    </row>
    <row r="52" spans="2:20">
      <c r="C52" s="7" t="str">
        <f>+'DEC WKSHT'!C52</f>
        <v>REVENUE REFUNDS:  PRIOR YEAR</v>
      </c>
      <c r="G52" s="133"/>
      <c r="J52" s="2">
        <f>+G52+'DEC WKSHT'!J52</f>
        <v>0</v>
      </c>
      <c r="L52" s="110"/>
    </row>
    <row r="53" spans="2:20">
      <c r="C53" s="7" t="str">
        <f>+'DEC WKSHT'!C53</f>
        <v>REVENUE REFUNDS:  CURRENT YEAR</v>
      </c>
      <c r="G53" s="133">
        <v>-40627.279999999999</v>
      </c>
      <c r="J53" s="2">
        <f>+G53+'DEC WKSHT'!J53</f>
        <v>-48412.479999999996</v>
      </c>
      <c r="L53" s="69"/>
      <c r="T53" s="177" t="s">
        <v>67</v>
      </c>
    </row>
    <row r="54" spans="2:20">
      <c r="C54" s="7" t="str">
        <f>+'DEC WKSHT'!C54</f>
        <v>REFUND OF PRIOR YEAR DISBURSEMENTS (R881)</v>
      </c>
      <c r="G54" s="133"/>
      <c r="J54" s="2">
        <f>+G54+'DEC WKSHT'!J54</f>
        <v>0</v>
      </c>
    </row>
    <row r="55" spans="2:20">
      <c r="C55" s="7" t="str">
        <f>+'DEC WKSHT'!C55</f>
        <v>UNHONORED CHECKS</v>
      </c>
      <c r="G55" s="133"/>
      <c r="J55" s="2">
        <f>+G55+'DEC WKSHT'!J55</f>
        <v>0</v>
      </c>
      <c r="M55" s="63"/>
    </row>
    <row r="56" spans="2:20">
      <c r="C56" s="7" t="str">
        <f>+'DEC WKSHT'!C56</f>
        <v>RECEIPT ADJUSTMENTS</v>
      </c>
      <c r="G56" s="130">
        <v>-121.8</v>
      </c>
      <c r="H56" s="2">
        <f>SUM(G51:G56)</f>
        <v>5435082.0599999996</v>
      </c>
      <c r="J56" s="11">
        <f>+G56+'DEC WKSHT'!J56</f>
        <v>498272.7</v>
      </c>
      <c r="K56" s="2">
        <f>SUM(J51:J56)</f>
        <v>61257454.700000003</v>
      </c>
    </row>
    <row r="58" spans="2:20">
      <c r="B58" s="7" t="str">
        <f>+'DEC WKSHT'!B58</f>
        <v>INVESTMENT INCOME (R771)</v>
      </c>
      <c r="C58" s="2"/>
      <c r="H58" s="133">
        <v>365114.55</v>
      </c>
      <c r="K58" s="2">
        <f>+H58+'DEC WKSHT'!K58</f>
        <v>2362696.2799999998</v>
      </c>
    </row>
    <row r="59" spans="2:20">
      <c r="L59" s="147" t="s">
        <v>50</v>
      </c>
      <c r="M59" s="63"/>
      <c r="N59" s="368"/>
    </row>
    <row r="60" spans="2:20">
      <c r="B60" s="7" t="str">
        <f>+'DEC WKSHT'!B60</f>
        <v>OTHER REVENUE</v>
      </c>
      <c r="H60" s="133"/>
      <c r="K60" s="2">
        <f>+H60+'DEC WKSHT'!K60</f>
        <v>6110.11</v>
      </c>
      <c r="L60" s="148">
        <f>-1057416.24+'DEC WKSHT'!L60</f>
        <v>15511325.790000001</v>
      </c>
    </row>
    <row r="61" spans="2:20">
      <c r="L61" s="141" t="s">
        <v>54</v>
      </c>
      <c r="M61" s="63"/>
    </row>
    <row r="62" spans="2:20">
      <c r="B62" s="7" t="str">
        <f>+'DEC WKSHT'!B62</f>
        <v>EXPENDITURES (LAW ENFORCEMENT SUMMARY)</v>
      </c>
      <c r="H62" s="110"/>
      <c r="I62" s="110"/>
      <c r="J62" s="110"/>
      <c r="K62" s="110"/>
      <c r="L62" s="141">
        <f>+K46</f>
        <v>73871638.640000001</v>
      </c>
    </row>
    <row r="63" spans="2:20">
      <c r="B63" s="7"/>
      <c r="C63" s="6" t="str">
        <f>+'AUG WKSHT'!C63</f>
        <v>CASH EXPENDITURES</v>
      </c>
      <c r="H63" s="8"/>
      <c r="I63" s="8"/>
      <c r="J63" s="126">
        <v>48114935.299999997</v>
      </c>
      <c r="K63" s="8"/>
      <c r="L63" s="141" t="s">
        <v>55</v>
      </c>
    </row>
    <row r="64" spans="2:20">
      <c r="B64" s="7"/>
      <c r="C64" s="6" t="str">
        <f>+'AUG WKSHT'!C64</f>
        <v>ACCRUED EXPENDITURES</v>
      </c>
      <c r="H64" s="77">
        <f>+K64-'DEC WKSHT'!K64</f>
        <v>6857612.849999994</v>
      </c>
      <c r="I64" s="8"/>
      <c r="J64" s="124">
        <v>-142455.63</v>
      </c>
      <c r="K64" s="152">
        <f>SUM(J63:J64)</f>
        <v>47972479.669999994</v>
      </c>
      <c r="L64" s="141">
        <f>+J64</f>
        <v>-142455.63</v>
      </c>
    </row>
    <row r="65" spans="1:13">
      <c r="L65" s="141" t="s">
        <v>53</v>
      </c>
      <c r="M65" s="177" t="s">
        <v>70</v>
      </c>
    </row>
    <row r="66" spans="1:13" ht="13.5" thickBot="1">
      <c r="B66" s="135" t="s">
        <v>104</v>
      </c>
      <c r="C66" s="144"/>
      <c r="D66" s="144"/>
      <c r="E66" s="144"/>
      <c r="H66" s="79">
        <f>+H48+H56+H58+H60-H64</f>
        <v>89525420.060000017</v>
      </c>
      <c r="K66" s="79">
        <f>+K46+K56+K58+K60-K64</f>
        <v>89525420.060000032</v>
      </c>
      <c r="L66" s="140">
        <f>+L60+L62-L64</f>
        <v>89525420.060000002</v>
      </c>
      <c r="M66" s="8">
        <f>L66-K66</f>
        <v>0</v>
      </c>
    </row>
    <row r="67" spans="1:13">
      <c r="L67" s="139" t="s">
        <v>44</v>
      </c>
      <c r="M67" s="8"/>
    </row>
    <row r="68" spans="1:13">
      <c r="A68" s="70" t="str">
        <f>+'DEC WKSHT'!A68</f>
        <v>FIREFIGHTERS FOUNDATION FUND (1341-470-UNIT-PK00)</v>
      </c>
      <c r="L68" s="168">
        <f>+J51-J13-G28</f>
        <v>-3144599.4499999979</v>
      </c>
      <c r="M68" s="8"/>
    </row>
    <row r="69" spans="1:13">
      <c r="A69" s="7"/>
      <c r="B69" s="6" t="str">
        <f>+B46</f>
        <v>BALANCE FORWARDED FROM FISCAL YEAR 2023</v>
      </c>
      <c r="K69" s="74">
        <f>+'DEC WKSHT'!K69</f>
        <v>38612985.210000001</v>
      </c>
      <c r="L69" s="16"/>
      <c r="M69" s="8"/>
    </row>
    <row r="70" spans="1:13">
      <c r="A70" s="9"/>
      <c r="K70" s="74"/>
      <c r="L70" s="16"/>
      <c r="M70" s="8"/>
    </row>
    <row r="71" spans="1:13">
      <c r="B71" s="7" t="str">
        <f>+B48</f>
        <v>CASH BALANCE DECEMBER 31, 2023</v>
      </c>
      <c r="H71" s="108">
        <f>+'DEC WKSHT'!H89</f>
        <v>38776790.959999993</v>
      </c>
      <c r="I71" s="74"/>
      <c r="M71" s="8"/>
    </row>
    <row r="72" spans="1:13">
      <c r="B72" s="7"/>
      <c r="H72" s="74"/>
      <c r="I72" s="74"/>
      <c r="M72" s="8"/>
    </row>
    <row r="73" spans="1:13">
      <c r="B73" s="10" t="str">
        <f>+B50</f>
        <v>REVENUE DISTRIBUTION INCOME (REVENUE DETAIL WORKSHEET):</v>
      </c>
      <c r="M73" s="8"/>
    </row>
    <row r="74" spans="1:13">
      <c r="C74" s="7" t="str">
        <f>+C51</f>
        <v>REVENUE DISTRIBUTION (N114)</v>
      </c>
      <c r="F74" s="69"/>
      <c r="H74" s="67" t="s">
        <v>64</v>
      </c>
      <c r="K74" s="67"/>
      <c r="M74" s="8"/>
    </row>
    <row r="75" spans="1:13">
      <c r="C75" s="7"/>
      <c r="D75" s="7" t="str">
        <f>+'DEC WKSHT'!D75</f>
        <v>FIREFIGHTERS FUND</v>
      </c>
      <c r="F75" s="131">
        <v>1544465.22</v>
      </c>
      <c r="G75" s="74"/>
      <c r="H75" s="66">
        <f>+H14*0.22</f>
        <v>2423392.0677999998</v>
      </c>
      <c r="J75" s="74"/>
      <c r="K75" s="66"/>
      <c r="L75" s="138" t="s">
        <v>43</v>
      </c>
      <c r="M75" s="8"/>
    </row>
    <row r="76" spans="1:13">
      <c r="C76" s="7"/>
      <c r="D76" s="7" t="str">
        <f>+'DEC WKSHT'!D76</f>
        <v>VOLUNTEER FIRE DEPT AID</v>
      </c>
      <c r="F76" s="130">
        <v>2036873.08</v>
      </c>
      <c r="G76" s="74">
        <f>SUM(F75:F76)</f>
        <v>3581338.3</v>
      </c>
      <c r="J76" s="74">
        <f>+G76+'DEC WKSHT'!J76</f>
        <v>32347031.030000001</v>
      </c>
      <c r="L76" s="141">
        <f>+K11+J14</f>
        <v>33230285.060000002</v>
      </c>
      <c r="M76" s="8"/>
    </row>
    <row r="77" spans="1:13">
      <c r="C77" s="7" t="str">
        <f>+C52</f>
        <v>REVENUE REFUNDS:  PRIOR YEAR</v>
      </c>
      <c r="G77" s="133"/>
      <c r="J77" s="2">
        <f>+G77+'DEC WKSHT'!J77</f>
        <v>0</v>
      </c>
      <c r="L77" s="139" t="s">
        <v>44</v>
      </c>
      <c r="M77" s="8"/>
    </row>
    <row r="78" spans="1:13">
      <c r="C78" s="6" t="str">
        <f>+C53</f>
        <v>REVENUE REFUNDS:  CURRENT YEAR</v>
      </c>
      <c r="G78" s="133">
        <v>-11458.98</v>
      </c>
      <c r="J78" s="2">
        <f>+G78+'DEC WKSHT'!J78</f>
        <v>-13654.789999999999</v>
      </c>
      <c r="L78" s="168">
        <f>+J76-L76</f>
        <v>-883254.03000000119</v>
      </c>
      <c r="M78" s="8"/>
    </row>
    <row r="79" spans="1:13">
      <c r="C79" s="7" t="str">
        <f>+C54</f>
        <v>REFUND OF PRIOR YEAR DISBURSEMENTS (R881)</v>
      </c>
      <c r="G79" s="133"/>
      <c r="J79" s="2">
        <f>+G79+'DEC WKSHT'!J79</f>
        <v>0</v>
      </c>
      <c r="M79" s="8"/>
    </row>
    <row r="80" spans="1:13">
      <c r="C80" s="6" t="str">
        <f>+C55</f>
        <v>UNHONORED CHECKS</v>
      </c>
      <c r="G80" s="133"/>
      <c r="J80" s="2">
        <f>+G80+'DEC WKSHT'!J80</f>
        <v>0</v>
      </c>
      <c r="M80" s="8"/>
    </row>
    <row r="81" spans="2:16">
      <c r="C81" s="6" t="str">
        <f>+C56</f>
        <v>RECEIPT ADJUSTMENTS</v>
      </c>
      <c r="G81" s="130">
        <v>-34.35</v>
      </c>
      <c r="H81" s="2">
        <f>SUM(G75:G81)</f>
        <v>3569844.9699999997</v>
      </c>
      <c r="J81" s="11">
        <f>+G81+'DEC WKSHT'!J81</f>
        <v>-525901.53999999992</v>
      </c>
      <c r="K81" s="2">
        <f>SUM(J76:J81)</f>
        <v>31807474.700000003</v>
      </c>
      <c r="M81" s="8"/>
    </row>
    <row r="82" spans="2:16">
      <c r="M82" s="8"/>
    </row>
    <row r="83" spans="2:16">
      <c r="B83" s="7" t="str">
        <f>+B58</f>
        <v>INVESTMENT INCOME (R771)</v>
      </c>
      <c r="C83" s="2"/>
      <c r="H83" s="133">
        <v>181733.57</v>
      </c>
      <c r="K83" s="2">
        <f>+H83+'DEC WKSHT'!K83</f>
        <v>1314972.1100000001</v>
      </c>
      <c r="M83" s="8"/>
    </row>
    <row r="84" spans="2:16">
      <c r="J84" s="2">
        <v>3738986.27</v>
      </c>
      <c r="L84" s="147" t="s">
        <v>50</v>
      </c>
      <c r="M84" s="8"/>
    </row>
    <row r="85" spans="2:16">
      <c r="B85" s="7" t="str">
        <f>+B60</f>
        <v>OTHER REVENUE</v>
      </c>
      <c r="C85" s="2"/>
      <c r="H85" s="133"/>
      <c r="K85" s="2">
        <f>+H85+'DEC WKSHT'!K85</f>
        <v>0</v>
      </c>
      <c r="L85" s="148">
        <f>344942.02+'DEC WKSHT'!L85</f>
        <v>508747.77</v>
      </c>
      <c r="M85" s="8"/>
    </row>
    <row r="86" spans="2:16">
      <c r="L86" s="141" t="s">
        <v>54</v>
      </c>
      <c r="M86" s="8"/>
    </row>
    <row r="87" spans="2:16">
      <c r="B87" s="7" t="str">
        <f>+'DEC WKSHT'!B87</f>
        <v>EXPENDITURES (FIREFIGHTERS SUMMARY)</v>
      </c>
      <c r="H87" s="11">
        <f>+K87-'DEC WKSHT'!K87</f>
        <v>3406636.5199999996</v>
      </c>
      <c r="K87" s="130">
        <v>32613699.039999999</v>
      </c>
      <c r="L87" s="141">
        <f>+K69</f>
        <v>38612985.210000001</v>
      </c>
      <c r="M87" s="8"/>
    </row>
    <row r="88" spans="2:16">
      <c r="L88" s="141" t="s">
        <v>53</v>
      </c>
      <c r="M88" s="177" t="s">
        <v>70</v>
      </c>
    </row>
    <row r="89" spans="2:16" ht="13.5" thickBot="1">
      <c r="B89" s="6" t="str">
        <f>+B66</f>
        <v>CASH BALANCE JANUARY 31, 2024</v>
      </c>
      <c r="H89" s="79">
        <f>+H71+H81+H83+H85-H87</f>
        <v>39121732.979999989</v>
      </c>
      <c r="K89" s="79">
        <f>+K69+K81+K83+K85-K87</f>
        <v>39121732.979999997</v>
      </c>
      <c r="L89" s="140">
        <f>+L85+L87</f>
        <v>39121732.980000004</v>
      </c>
      <c r="M89" s="8">
        <f>L89-K89</f>
        <v>0</v>
      </c>
    </row>
    <row r="92" spans="2:16">
      <c r="C92" s="82" t="s">
        <v>71</v>
      </c>
      <c r="D92" s="82"/>
      <c r="E92" s="82"/>
      <c r="F92" s="82"/>
      <c r="G92" s="82"/>
      <c r="H92" s="8"/>
      <c r="I92" s="8"/>
      <c r="J92" s="8"/>
      <c r="K92" s="8"/>
      <c r="L92" s="8"/>
      <c r="M92" s="8"/>
      <c r="N92" s="8"/>
      <c r="O92" s="8"/>
      <c r="P92" s="8"/>
    </row>
    <row r="93" spans="2:16">
      <c r="C93" s="159"/>
      <c r="D93" s="159"/>
      <c r="E93" s="399" t="s">
        <v>105</v>
      </c>
      <c r="F93" s="399"/>
      <c r="G93" s="399"/>
      <c r="H93" s="399"/>
      <c r="I93" s="399"/>
      <c r="J93" s="399"/>
      <c r="K93" s="399"/>
      <c r="L93" s="399"/>
      <c r="M93" s="399"/>
      <c r="N93" s="399"/>
      <c r="O93" s="399"/>
      <c r="P93" s="399"/>
    </row>
    <row r="94" spans="2:16">
      <c r="C94" s="159"/>
      <c r="D94" s="159"/>
      <c r="E94" s="303"/>
      <c r="F94" s="303"/>
      <c r="G94" s="303"/>
      <c r="H94" s="303"/>
      <c r="I94" s="303"/>
      <c r="J94" s="303"/>
      <c r="K94" s="303"/>
      <c r="L94" s="303"/>
      <c r="M94" s="303"/>
      <c r="N94" s="303"/>
      <c r="O94" s="303"/>
      <c r="P94" s="303"/>
    </row>
    <row r="95" spans="2:16">
      <c r="C95" s="82"/>
      <c r="D95" s="82"/>
      <c r="E95" s="400" t="s">
        <v>106</v>
      </c>
      <c r="F95" s="400"/>
      <c r="G95" s="400"/>
      <c r="H95" s="400"/>
      <c r="I95" s="400"/>
      <c r="J95" s="400"/>
      <c r="K95" s="400"/>
      <c r="L95" s="400"/>
      <c r="M95" s="400"/>
      <c r="N95" s="400"/>
      <c r="O95" s="400"/>
      <c r="P95" s="400"/>
    </row>
    <row r="96" spans="2:16">
      <c r="C96" s="82"/>
      <c r="D96" s="82"/>
      <c r="E96" s="400" t="s">
        <v>107</v>
      </c>
      <c r="F96" s="400"/>
      <c r="G96" s="400"/>
      <c r="H96" s="400"/>
      <c r="I96" s="400"/>
      <c r="J96" s="400"/>
      <c r="K96" s="400"/>
      <c r="L96" s="400"/>
      <c r="M96" s="400"/>
      <c r="N96" s="400"/>
      <c r="O96" s="400"/>
      <c r="P96" s="400"/>
    </row>
  </sheetData>
  <mergeCells count="4">
    <mergeCell ref="J40:L40"/>
    <mergeCell ref="E93:P93"/>
    <mergeCell ref="E95:P95"/>
    <mergeCell ref="E96:P96"/>
  </mergeCells>
  <phoneticPr fontId="12" type="noConversion"/>
  <printOptions horizontalCentered="1" verticalCentered="1"/>
  <pageMargins left="0" right="0" top="0" bottom="0" header="0" footer="0"/>
  <pageSetup scale="65" orientation="portrait" horizontalDpi="300" verticalDpi="300" r:id="rId1"/>
  <headerFooter alignWithMargins="0">
    <oddHeader>&amp;R&amp;F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65"/>
  <sheetViews>
    <sheetView workbookViewId="0">
      <selection activeCell="E4" sqref="E4"/>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3" width="14.7109375" style="2" customWidth="1"/>
    <col min="14" max="14" width="1.7109375" style="2" customWidth="1"/>
    <col min="15" max="15" width="10.28515625" style="2"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+'JAN WKSHT'!A4</f>
        <v>FOR THE PERIOD JANUARY 1, 2024 - JANUARY 31, 2024</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64"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+'JAN WKSHT'!H11</f>
        <v>2041200.24</v>
      </c>
      <c r="I11" s="13"/>
      <c r="J11" s="34"/>
      <c r="K11" s="42"/>
      <c r="L11" s="13">
        <f>+'JAN WKSHT'!K11</f>
        <v>15200498.110000001</v>
      </c>
      <c r="M11" s="13"/>
      <c r="N11" s="34"/>
    </row>
    <row r="12" spans="1:15">
      <c r="A12" s="53"/>
      <c r="B12" s="31"/>
      <c r="C12" s="31" t="str">
        <f>+JUL!C12</f>
        <v>LAW ENFORCEMENT AND FIREFIGHTERS FUND</v>
      </c>
      <c r="D12" s="32"/>
      <c r="E12" s="33"/>
      <c r="F12" s="35"/>
      <c r="G12" s="42"/>
      <c r="H12" s="11">
        <f>+'JAN WKSHT'!H14</f>
        <v>11015418.49</v>
      </c>
      <c r="I12" s="13">
        <f>SUM(H11:H12)</f>
        <v>13056618.73</v>
      </c>
      <c r="J12" s="34"/>
      <c r="K12" s="42"/>
      <c r="L12" s="11">
        <f>+'JAN WKSHT'!K14</f>
        <v>81953576.689999998</v>
      </c>
      <c r="M12" s="13">
        <f>SUM(L11:L12)</f>
        <v>97154074.799999997</v>
      </c>
      <c r="N12" s="34"/>
    </row>
    <row r="13" spans="1:15">
      <c r="A13" s="53"/>
      <c r="B13" s="31" t="str">
        <f>+JUL!B13</f>
        <v>REVENUE REFUNDS</v>
      </c>
      <c r="C13" s="33"/>
      <c r="D13" s="31"/>
      <c r="E13" s="33"/>
      <c r="F13" s="35"/>
      <c r="G13" s="42"/>
      <c r="H13" s="16"/>
      <c r="I13" s="16">
        <f>+'JAN WKSHT'!H21</f>
        <v>-678.17000000000007</v>
      </c>
      <c r="J13" s="35"/>
      <c r="K13" s="42"/>
      <c r="L13" s="16"/>
      <c r="M13" s="16">
        <f ca="1">+'JAN WKSHT'!K21</f>
        <v>-62745.439999999995</v>
      </c>
      <c r="N13" s="35"/>
    </row>
    <row r="14" spans="1:15">
      <c r="A14" s="30"/>
      <c r="B14" s="31" t="str">
        <f>+JUL!B14</f>
        <v>UNHONORED CHECKS</v>
      </c>
      <c r="C14" s="33"/>
      <c r="D14" s="32"/>
      <c r="E14" s="33"/>
      <c r="F14" s="35"/>
      <c r="G14" s="42"/>
      <c r="H14" s="16"/>
      <c r="I14" s="16">
        <f>+'JAN WKSHT'!H25</f>
        <v>0</v>
      </c>
      <c r="J14" s="35"/>
      <c r="K14" s="42"/>
      <c r="L14" s="16"/>
      <c r="M14" s="16">
        <f>+'JAN WKSHT'!K25</f>
        <v>0</v>
      </c>
      <c r="N14" s="35"/>
    </row>
    <row r="15" spans="1:15">
      <c r="A15" s="30"/>
      <c r="B15" s="31" t="str">
        <f>+JUL!B15</f>
        <v>RECEIPT ADJUSTMENTS</v>
      </c>
      <c r="C15" s="33"/>
      <c r="D15" s="32"/>
      <c r="E15" s="33"/>
      <c r="F15" s="35"/>
      <c r="G15" s="42"/>
      <c r="H15" s="16"/>
      <c r="I15" s="36">
        <f>+'JAN WKSHT'!H29</f>
        <v>5623.4299999999994</v>
      </c>
      <c r="J15" s="37"/>
      <c r="K15" s="42"/>
      <c r="L15" s="16"/>
      <c r="M15" s="36">
        <f>+'JAN WKSHT'!K29</f>
        <v>-21849.260000000009</v>
      </c>
      <c r="N15" s="37"/>
    </row>
    <row r="16" spans="1:15" ht="13.5" thickBot="1">
      <c r="A16" s="50"/>
      <c r="B16" s="33"/>
      <c r="C16" s="31" t="str">
        <f>+JUL!C16</f>
        <v>NET RECEIPTS TO BE DISTRIBUTED</v>
      </c>
      <c r="D16" s="33"/>
      <c r="E16" s="33"/>
      <c r="F16" s="35"/>
      <c r="G16" s="42"/>
      <c r="H16" s="16"/>
      <c r="I16" s="22">
        <f>SUM(I10:I15)</f>
        <v>13061563.99</v>
      </c>
      <c r="J16" s="56"/>
      <c r="K16" s="42"/>
      <c r="L16" s="16"/>
      <c r="M16" s="22">
        <f ca="1">SUM(M10:M15)</f>
        <v>97069480.099999994</v>
      </c>
      <c r="N16" s="56"/>
      <c r="O16" s="2">
        <f>+I16-'JAN WKSHT'!H30</f>
        <v>0</v>
      </c>
    </row>
    <row r="17" spans="1:15" ht="13.5" thickBot="1">
      <c r="A17" s="38"/>
      <c r="B17" s="39"/>
      <c r="C17" s="39"/>
      <c r="D17" s="39"/>
      <c r="E17" s="39"/>
      <c r="F17" s="40"/>
      <c r="G17" s="43"/>
      <c r="H17" s="14"/>
      <c r="I17" s="14"/>
      <c r="J17" s="40"/>
      <c r="K17" s="43"/>
      <c r="L17" s="14"/>
      <c r="M17" s="14"/>
      <c r="N17" s="40"/>
      <c r="O17" s="2">
        <f ca="1">+M16-'JAN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+'JAN WKSHT'!K46</f>
        <v>73871638.640000001</v>
      </c>
      <c r="N22" s="35"/>
    </row>
    <row r="23" spans="1:15">
      <c r="A23" s="49"/>
      <c r="B23" s="44"/>
      <c r="C23" s="32"/>
      <c r="D23" s="32"/>
      <c r="E23" s="32"/>
      <c r="F23" s="35"/>
      <c r="G23" s="42"/>
      <c r="H23" s="16"/>
      <c r="I23" s="16"/>
      <c r="J23" s="35"/>
      <c r="K23" s="42"/>
      <c r="L23" s="16"/>
      <c r="M23" s="16"/>
      <c r="N23" s="35"/>
    </row>
    <row r="24" spans="1:15">
      <c r="A24" s="53"/>
      <c r="B24" s="31" t="str">
        <f>+'JAN WKSHT'!B48</f>
        <v>CASH BALANCE DECEMBER 31, 2023</v>
      </c>
      <c r="C24" s="33"/>
      <c r="D24" s="32"/>
      <c r="E24" s="32"/>
      <c r="F24" s="35"/>
      <c r="G24" s="42"/>
      <c r="H24" s="16"/>
      <c r="I24" s="20">
        <f>+'JAN WKSHT'!H48</f>
        <v>90582836.300000012</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+'JAN WKSHT'!G51</f>
        <v>5475831.1399999997</v>
      </c>
      <c r="I27" s="33"/>
      <c r="J27" s="57"/>
      <c r="K27" s="42"/>
      <c r="L27" s="20">
        <f>+'JAN WKSHT'!J51</f>
        <v>60807594.479999997</v>
      </c>
      <c r="M27" s="33"/>
      <c r="N27" s="57"/>
    </row>
    <row r="28" spans="1:15">
      <c r="A28" s="30"/>
      <c r="B28" s="32"/>
      <c r="C28" s="31" t="str">
        <f>+JUL!C28</f>
        <v>REVENUE REFUNDS:  PRIOR YEAR</v>
      </c>
      <c r="D28" s="32"/>
      <c r="E28" s="32"/>
      <c r="F28" s="35"/>
      <c r="G28" s="42"/>
      <c r="H28" s="16">
        <f>+'JAN WKSHT'!G52</f>
        <v>0</v>
      </c>
      <c r="I28" s="33"/>
      <c r="J28" s="57"/>
      <c r="K28" s="42"/>
      <c r="L28" s="16">
        <f>+'JAN WKSHT'!J52</f>
        <v>0</v>
      </c>
      <c r="M28" s="33"/>
      <c r="N28" s="57"/>
    </row>
    <row r="29" spans="1:15">
      <c r="A29" s="30"/>
      <c r="B29" s="32"/>
      <c r="C29" s="31" t="str">
        <f>+JUL!C29</f>
        <v>REVENUE REFUNDS:  CURRENT YEAR</v>
      </c>
      <c r="D29" s="32"/>
      <c r="E29" s="32"/>
      <c r="F29" s="35"/>
      <c r="G29" s="42"/>
      <c r="H29" s="16">
        <f>+'JAN WKSHT'!G53</f>
        <v>-40627.279999999999</v>
      </c>
      <c r="I29" s="33"/>
      <c r="J29" s="57"/>
      <c r="K29" s="42"/>
      <c r="L29" s="16">
        <f>+'JAN WKSHT'!J53</f>
        <v>-48412.479999999996</v>
      </c>
      <c r="M29" s="33"/>
      <c r="N29" s="57"/>
    </row>
    <row r="30" spans="1:15">
      <c r="A30" s="30"/>
      <c r="B30" s="32"/>
      <c r="C30" s="31" t="str">
        <f>+JUL!C30</f>
        <v>REFUND OF PRIOR YEAR DISBURSEMENTS</v>
      </c>
      <c r="D30" s="32"/>
      <c r="E30" s="32"/>
      <c r="F30" s="35"/>
      <c r="G30" s="42"/>
      <c r="H30" s="16">
        <f>+'JAN WKSHT'!G54</f>
        <v>0</v>
      </c>
      <c r="I30" s="33"/>
      <c r="J30" s="57"/>
      <c r="K30" s="42"/>
      <c r="L30" s="16">
        <f>+'JAN WKSHT'!J54</f>
        <v>0</v>
      </c>
      <c r="M30" s="33"/>
      <c r="N30" s="57"/>
    </row>
    <row r="31" spans="1:15">
      <c r="A31" s="30"/>
      <c r="B31" s="32"/>
      <c r="C31" s="31" t="str">
        <f>+JUL!C31</f>
        <v>UNHONORED CHECKS</v>
      </c>
      <c r="D31" s="32"/>
      <c r="E31" s="32"/>
      <c r="F31" s="35"/>
      <c r="G31" s="42"/>
      <c r="H31" s="16">
        <f>+'JAN WKSHT'!G55</f>
        <v>0</v>
      </c>
      <c r="I31" s="33"/>
      <c r="J31" s="57"/>
      <c r="K31" s="42"/>
      <c r="L31" s="16">
        <f>+'JAN WKSHT'!J55</f>
        <v>0</v>
      </c>
      <c r="M31" s="33"/>
      <c r="N31" s="57"/>
    </row>
    <row r="32" spans="1:15">
      <c r="A32" s="30"/>
      <c r="B32" s="32"/>
      <c r="C32" s="31" t="str">
        <f>+JUL!C32</f>
        <v>RECEIPT ADJUSTMENTS</v>
      </c>
      <c r="D32" s="32"/>
      <c r="E32" s="32"/>
      <c r="F32" s="35"/>
      <c r="G32" s="42"/>
      <c r="H32" s="11">
        <f>+'JAN WKSHT'!G56</f>
        <v>-121.8</v>
      </c>
      <c r="I32" s="16">
        <f>SUM(H27:H32)</f>
        <v>5435082.0599999996</v>
      </c>
      <c r="J32" s="35"/>
      <c r="K32" s="42"/>
      <c r="L32" s="11">
        <f>+'JAN WKSHT'!J56</f>
        <v>498272.7</v>
      </c>
      <c r="M32" s="16">
        <f>SUM(L27:L32)</f>
        <v>61257454.700000003</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+'JAN WKSHT'!H58</f>
        <v>365114.55</v>
      </c>
      <c r="J34" s="35"/>
      <c r="K34" s="42"/>
      <c r="L34" s="16"/>
      <c r="M34" s="16">
        <f>+'JAN WKSHT'!K58</f>
        <v>2362696.2799999998</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+'JAN WKSHT'!H60</f>
        <v>0</v>
      </c>
      <c r="J36" s="35"/>
      <c r="K36" s="42"/>
      <c r="L36" s="16"/>
      <c r="M36" s="16">
        <f>+'JAN WKSHT'!K60</f>
        <v>6110.11</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+'JAN WKSHT'!H64</f>
        <v>6857612.849999994</v>
      </c>
      <c r="J38" s="35"/>
      <c r="K38" s="42"/>
      <c r="L38" s="16"/>
      <c r="M38" s="11">
        <f>+'JAN WKSHT'!K64</f>
        <v>47972479.669999994</v>
      </c>
      <c r="N38" s="35"/>
    </row>
    <row r="39" spans="1:15">
      <c r="A39" s="30"/>
      <c r="B39" s="32"/>
      <c r="C39" s="32"/>
      <c r="D39" s="32"/>
      <c r="E39" s="32"/>
      <c r="F39" s="35"/>
      <c r="G39" s="42"/>
      <c r="H39" s="16"/>
      <c r="I39" s="16"/>
      <c r="J39" s="35"/>
      <c r="K39" s="42"/>
      <c r="L39" s="16"/>
      <c r="M39" s="16"/>
      <c r="N39" s="35"/>
    </row>
    <row r="40" spans="1:15" ht="13.5" thickBot="1">
      <c r="A40" s="53"/>
      <c r="B40" s="31" t="str">
        <f>+'JAN WKSHT'!B66</f>
        <v>CASH BALANCE JANUARY 31, 2024</v>
      </c>
      <c r="C40" s="32"/>
      <c r="D40" s="32"/>
      <c r="E40" s="32"/>
      <c r="F40" s="35"/>
      <c r="G40" s="42"/>
      <c r="H40" s="16"/>
      <c r="I40" s="21">
        <f>+I24+I32+I34+I36-I38</f>
        <v>89525420.060000017</v>
      </c>
      <c r="J40" s="56"/>
      <c r="K40" s="42"/>
      <c r="L40" s="16"/>
      <c r="M40" s="21">
        <f>+M22+M32+M34+M36-M38</f>
        <v>89525420.060000032</v>
      </c>
      <c r="N40" s="56"/>
      <c r="O40" s="2">
        <f>+I40-'JAN WKSHT'!H66</f>
        <v>0</v>
      </c>
    </row>
    <row r="41" spans="1:15" ht="13.5" thickBot="1">
      <c r="A41" s="38"/>
      <c r="B41" s="39"/>
      <c r="C41" s="39"/>
      <c r="D41" s="39"/>
      <c r="E41" s="39"/>
      <c r="F41" s="40"/>
      <c r="G41" s="43"/>
      <c r="H41" s="14"/>
      <c r="I41" s="14"/>
      <c r="J41" s="40"/>
      <c r="K41" s="43"/>
      <c r="L41" s="14"/>
      <c r="M41" s="14"/>
      <c r="N41" s="40"/>
      <c r="O41" s="2">
        <f>+M40-'JAN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+'JAN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DECEMBER 31, 2023</v>
      </c>
      <c r="C48" s="32"/>
      <c r="D48" s="32"/>
      <c r="E48" s="32"/>
      <c r="F48" s="61"/>
      <c r="G48" s="42"/>
      <c r="H48" s="16"/>
      <c r="I48" s="20">
        <f>+'JAN WKSHT'!H71</f>
        <v>38776790.959999993</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+'JAN WKSHT'!G76</f>
        <v>3581338.3</v>
      </c>
      <c r="I51" s="33"/>
      <c r="J51" s="57"/>
      <c r="K51" s="42"/>
      <c r="L51" s="20">
        <f>+'JAN WKSHT'!J76</f>
        <v>32347031.030000001</v>
      </c>
      <c r="M51" s="33"/>
      <c r="N51" s="57"/>
    </row>
    <row r="52" spans="1:15">
      <c r="A52" s="30"/>
      <c r="B52" s="31"/>
      <c r="C52" s="31" t="str">
        <f>+JUL!C52</f>
        <v>REVENUE REFUNDS:  PRIOR YEAR</v>
      </c>
      <c r="D52" s="32"/>
      <c r="E52" s="32"/>
      <c r="F52" s="61"/>
      <c r="G52" s="42"/>
      <c r="H52" s="16">
        <f>+'JAN WKSHT'!G77</f>
        <v>0</v>
      </c>
      <c r="I52" s="33"/>
      <c r="J52" s="57"/>
      <c r="K52" s="42"/>
      <c r="L52" s="16">
        <f>+'JAN WKSHT'!J77</f>
        <v>0</v>
      </c>
      <c r="M52" s="33"/>
      <c r="N52" s="57"/>
    </row>
    <row r="53" spans="1:15">
      <c r="A53" s="30"/>
      <c r="B53" s="32"/>
      <c r="C53" s="31" t="str">
        <f>+JUL!C53</f>
        <v>REVENUE REFUNDS:  CURRENT YEAR</v>
      </c>
      <c r="D53" s="32"/>
      <c r="E53" s="32"/>
      <c r="F53" s="61"/>
      <c r="G53" s="42"/>
      <c r="H53" s="16">
        <f>+'JAN WKSHT'!G78</f>
        <v>-11458.98</v>
      </c>
      <c r="I53" s="33"/>
      <c r="J53" s="57"/>
      <c r="K53" s="42"/>
      <c r="L53" s="16">
        <f>+'JAN WKSHT'!J78</f>
        <v>-13654.789999999999</v>
      </c>
      <c r="M53" s="33"/>
      <c r="N53" s="57"/>
    </row>
    <row r="54" spans="1:15">
      <c r="A54" s="30"/>
      <c r="B54" s="31"/>
      <c r="C54" s="31" t="str">
        <f>+JUL!C54</f>
        <v>REFUND OF PRIOR YEAR DISBURSEMENTS</v>
      </c>
      <c r="D54" s="32"/>
      <c r="E54" s="32"/>
      <c r="F54" s="61"/>
      <c r="G54" s="42"/>
      <c r="H54" s="16">
        <f>+'JAN WKSHT'!G79</f>
        <v>0</v>
      </c>
      <c r="I54" s="33"/>
      <c r="J54" s="57"/>
      <c r="K54" s="42"/>
      <c r="L54" s="16">
        <f>+'JAN WKSHT'!J79</f>
        <v>0</v>
      </c>
      <c r="M54" s="33"/>
      <c r="N54" s="57"/>
    </row>
    <row r="55" spans="1:15">
      <c r="A55" s="30"/>
      <c r="B55" s="32"/>
      <c r="C55" s="31" t="str">
        <f>+JUL!C55</f>
        <v>UNHONORED CHECKS</v>
      </c>
      <c r="D55" s="32"/>
      <c r="E55" s="32"/>
      <c r="F55" s="61"/>
      <c r="G55" s="42"/>
      <c r="H55" s="16">
        <f>+'JAN WKSHT'!G80</f>
        <v>0</v>
      </c>
      <c r="I55" s="33"/>
      <c r="J55" s="57"/>
      <c r="K55" s="42"/>
      <c r="L55" s="16">
        <f>+'JAN WKSHT'!J80</f>
        <v>0</v>
      </c>
      <c r="M55" s="33"/>
      <c r="N55" s="57"/>
    </row>
    <row r="56" spans="1:15">
      <c r="A56" s="30"/>
      <c r="B56" s="32"/>
      <c r="C56" s="31" t="str">
        <f>+JUL!C56</f>
        <v>RECEIPT ADJUSTMENTS</v>
      </c>
      <c r="D56" s="32"/>
      <c r="E56" s="32"/>
      <c r="F56" s="61"/>
      <c r="G56" s="42"/>
      <c r="H56" s="11">
        <f>+'JAN WKSHT'!G81</f>
        <v>-34.35</v>
      </c>
      <c r="I56" s="16">
        <f>SUM(H51:H56)</f>
        <v>3569844.9699999997</v>
      </c>
      <c r="J56" s="35"/>
      <c r="K56" s="42"/>
      <c r="L56" s="11">
        <f>+'JAN WKSHT'!J81</f>
        <v>-525901.53999999992</v>
      </c>
      <c r="M56" s="16">
        <f>SUM(L51:L56)</f>
        <v>31807474.700000003</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+'JAN WKSHT'!H83</f>
        <v>181733.57</v>
      </c>
      <c r="J58" s="35"/>
      <c r="K58" s="42"/>
      <c r="L58" s="16"/>
      <c r="M58" s="16">
        <f>+'JAN WKSHT'!K83</f>
        <v>1314972.1100000001</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+'JAN WKSHT'!H85</f>
        <v>0</v>
      </c>
      <c r="J60" s="35"/>
      <c r="K60" s="42"/>
      <c r="L60" s="16"/>
      <c r="M60" s="16">
        <f>+'JAN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+'JAN WKSHT'!H87</f>
        <v>3406636.5199999996</v>
      </c>
      <c r="J62" s="35"/>
      <c r="K62" s="42"/>
      <c r="L62" s="16"/>
      <c r="M62" s="11">
        <f>+'JAN WKSHT'!K87</f>
        <v>32613699.039999999</v>
      </c>
      <c r="N62" s="35"/>
    </row>
    <row r="63" spans="1:15">
      <c r="A63" s="30"/>
      <c r="B63" s="32"/>
      <c r="C63" s="32"/>
      <c r="D63" s="32"/>
      <c r="E63" s="32"/>
      <c r="F63" s="61"/>
      <c r="G63" s="42"/>
      <c r="H63" s="16"/>
      <c r="I63" s="16"/>
      <c r="J63" s="35"/>
      <c r="K63" s="42"/>
      <c r="L63" s="16"/>
      <c r="M63" s="16"/>
      <c r="N63" s="35"/>
      <c r="O63" s="2">
        <f>+I64-'JAN WKSHT'!H89</f>
        <v>0</v>
      </c>
    </row>
    <row r="64" spans="1:15" ht="13.5" thickBot="1">
      <c r="A64" s="30">
        <f>+A38</f>
        <v>0</v>
      </c>
      <c r="B64" s="31" t="str">
        <f>+B40</f>
        <v>CASH BALANCE JANUARY 31, 2024</v>
      </c>
      <c r="C64" s="32"/>
      <c r="D64" s="32"/>
      <c r="E64" s="32"/>
      <c r="F64" s="61"/>
      <c r="G64" s="42"/>
      <c r="H64" s="16"/>
      <c r="I64" s="21">
        <f>+I48+I56+I58+I60-I62</f>
        <v>39121732.979999989</v>
      </c>
      <c r="J64" s="56"/>
      <c r="K64" s="42"/>
      <c r="L64" s="16"/>
      <c r="M64" s="21">
        <f>+M46+M56+M58+M60-M62</f>
        <v>39121732.979999997</v>
      </c>
      <c r="N64" s="56"/>
      <c r="O64" s="2">
        <f>+M64-'JAN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91"/>
  <sheetViews>
    <sheetView topLeftCell="A28" zoomScale="90" zoomScaleNormal="90" workbookViewId="0">
      <selection activeCell="L98" sqref="L98"/>
    </sheetView>
  </sheetViews>
  <sheetFormatPr defaultColWidth="9.140625" defaultRowHeight="12.75"/>
  <cols>
    <col min="1" max="1" width="2.85546875" style="100" customWidth="1"/>
    <col min="2" max="3" width="3.7109375" style="100" customWidth="1"/>
    <col min="4" max="4" width="5.5703125" style="100" customWidth="1"/>
    <col min="5" max="5" width="29.7109375" style="100" customWidth="1"/>
    <col min="6" max="6" width="14.5703125" style="69" customWidth="1"/>
    <col min="7" max="7" width="14.42578125" style="69" customWidth="1"/>
    <col min="8" max="8" width="15.5703125" style="69" bestFit="1" customWidth="1"/>
    <col min="9" max="9" width="1.7109375" style="69" customWidth="1"/>
    <col min="10" max="10" width="14.5703125" style="69" customWidth="1"/>
    <col min="11" max="11" width="15.140625" style="69" customWidth="1"/>
    <col min="12" max="12" width="19.5703125" style="69" bestFit="1" customWidth="1"/>
    <col min="13" max="13" width="15" style="69" bestFit="1" customWidth="1"/>
    <col min="14" max="14" width="9.140625" style="69"/>
    <col min="15" max="15" width="16.42578125" style="69" customWidth="1"/>
    <col min="16" max="17" width="9.140625" style="69"/>
    <col min="18" max="18" width="17.7109375" style="69" customWidth="1"/>
    <col min="19" max="16384" width="9.140625" style="69"/>
  </cols>
  <sheetData>
    <row r="1" spans="1:12" ht="14.25" customHeight="1">
      <c r="A1" s="96" t="s">
        <v>0</v>
      </c>
      <c r="B1" s="97"/>
      <c r="C1" s="97"/>
      <c r="D1" s="97"/>
      <c r="E1" s="97"/>
      <c r="F1" s="97"/>
      <c r="G1" s="97"/>
      <c r="H1" s="97"/>
      <c r="I1" s="97"/>
      <c r="J1" s="97"/>
      <c r="K1" s="97"/>
    </row>
    <row r="2" spans="1:12" ht="15" customHeight="1">
      <c r="A2" s="98" t="s">
        <v>1</v>
      </c>
      <c r="B2" s="97"/>
      <c r="C2" s="97"/>
      <c r="D2" s="97"/>
      <c r="E2" s="97"/>
      <c r="F2" s="97"/>
      <c r="G2" s="97"/>
      <c r="H2" s="97"/>
      <c r="I2" s="97"/>
      <c r="J2" s="97"/>
      <c r="K2" s="97"/>
    </row>
    <row r="3" spans="1:12" ht="15" customHeight="1">
      <c r="A3" s="96" t="s">
        <v>2</v>
      </c>
      <c r="B3" s="97"/>
      <c r="C3" s="97"/>
      <c r="D3" s="97"/>
      <c r="E3" s="97"/>
      <c r="F3" s="97"/>
      <c r="G3" s="97"/>
      <c r="H3" s="97"/>
      <c r="I3" s="97"/>
      <c r="J3" s="97"/>
      <c r="K3" s="97"/>
    </row>
    <row r="4" spans="1:12" ht="15">
      <c r="A4" s="137" t="s">
        <v>108</v>
      </c>
      <c r="B4" s="143"/>
      <c r="C4" s="143"/>
      <c r="D4" s="143"/>
      <c r="E4" s="143"/>
      <c r="F4" s="143"/>
      <c r="G4" s="97"/>
      <c r="H4" s="97"/>
      <c r="I4" s="97"/>
      <c r="J4" s="97"/>
      <c r="K4" s="97"/>
    </row>
    <row r="5" spans="1:12" ht="4.9000000000000004" customHeight="1" thickBot="1">
      <c r="A5" s="99"/>
      <c r="B5" s="99"/>
      <c r="C5" s="99"/>
      <c r="D5" s="99"/>
      <c r="E5" s="99"/>
      <c r="F5" s="99"/>
      <c r="G5" s="99"/>
      <c r="H5" s="99"/>
      <c r="I5" s="99"/>
      <c r="J5" s="99"/>
      <c r="K5" s="99"/>
    </row>
    <row r="7" spans="1:12">
      <c r="B7" s="101"/>
      <c r="C7" s="101"/>
      <c r="D7" s="101"/>
      <c r="G7" s="102" t="s">
        <v>3</v>
      </c>
      <c r="H7" s="102"/>
      <c r="I7" s="103"/>
      <c r="J7" s="102" t="s">
        <v>4</v>
      </c>
      <c r="K7" s="104"/>
      <c r="L7" s="105" t="s">
        <v>5</v>
      </c>
    </row>
    <row r="8" spans="1:12">
      <c r="A8" s="106" t="str">
        <f>+'JAN WKSHT'!A8</f>
        <v>DEPARTMENT OF REVENUE SURTAX RECEIPTS COLLECTED (14E6-130-D130-R000-R284, R285, R286)</v>
      </c>
    </row>
    <row r="9" spans="1:12">
      <c r="B9" s="107" t="str">
        <f>+'JAN WKSHT'!B9</f>
        <v>GROSS RECEIPTS (REVENUE DISTRIBUTION)</v>
      </c>
      <c r="C9" s="107"/>
      <c r="E9" s="69"/>
    </row>
    <row r="10" spans="1:12">
      <c r="B10" s="107"/>
      <c r="C10" s="107" t="str">
        <f>+'JAN WKSHT'!C10</f>
        <v>VOLUNTEER FIRE DEPARTMENT AID</v>
      </c>
      <c r="E10" s="69"/>
    </row>
    <row r="11" spans="1:12">
      <c r="D11" s="107" t="str">
        <f>+'JAN WKSHT'!D11</f>
        <v>R284 Volunteer Fire Dept Aid Fund</v>
      </c>
      <c r="E11" s="69"/>
      <c r="H11" s="131">
        <v>2265536.2999999998</v>
      </c>
      <c r="K11" s="108">
        <f>+H11+'JAN WKSHT'!K11</f>
        <v>17466034.41</v>
      </c>
    </row>
    <row r="12" spans="1:12">
      <c r="C12" s="107" t="str">
        <f>+'JAN WKSHT'!C12</f>
        <v>LAW ENFORCEMENT AND FIREFIGHTERS FUND</v>
      </c>
      <c r="E12" s="69"/>
      <c r="G12" s="108"/>
      <c r="J12" s="108"/>
    </row>
    <row r="13" spans="1:12">
      <c r="D13" s="107" t="str">
        <f>+'JAN WKSHT'!D13</f>
        <v>R285 Law Enforcement Fund</v>
      </c>
      <c r="E13" s="69"/>
      <c r="F13" s="108"/>
      <c r="G13" s="131">
        <v>9916054.2200000007</v>
      </c>
      <c r="J13" s="108">
        <f>+G13+'JAN WKSHT'!J13</f>
        <v>73839843.959999993</v>
      </c>
    </row>
    <row r="14" spans="1:12">
      <c r="D14" s="107" t="str">
        <f>+'JAN WKSHT'!D14</f>
        <v>R286 Firefighters Fund</v>
      </c>
      <c r="E14" s="69"/>
      <c r="G14" s="130">
        <v>2796835.88</v>
      </c>
      <c r="H14" s="73">
        <f>SUM(G13:G14)</f>
        <v>12712890.100000001</v>
      </c>
      <c r="I14" s="108"/>
      <c r="J14" s="73">
        <f>+G14+'JAN WKSHT'!J14</f>
        <v>20826622.830000002</v>
      </c>
      <c r="K14" s="73">
        <f>SUM(J13:J14)</f>
        <v>94666466.789999992</v>
      </c>
    </row>
    <row r="15" spans="1:12">
      <c r="E15" s="69"/>
      <c r="G15" s="109"/>
      <c r="H15" s="108">
        <f>SUM(H11:H14)</f>
        <v>14978426.400000002</v>
      </c>
      <c r="I15" s="108"/>
      <c r="J15" s="110"/>
      <c r="K15" s="108">
        <f>SUM(K11:K14)</f>
        <v>112132501.19999999</v>
      </c>
      <c r="L15" s="69">
        <f>+J51+J76-K15</f>
        <v>0</v>
      </c>
    </row>
    <row r="16" spans="1:12">
      <c r="E16" s="69"/>
      <c r="G16" s="109"/>
      <c r="H16" s="108"/>
      <c r="I16" s="108"/>
      <c r="J16" s="110"/>
      <c r="K16" s="108"/>
    </row>
    <row r="17" spans="2:13">
      <c r="B17" s="107" t="str">
        <f>+'JAN WKSHT'!B17</f>
        <v>OTHER DISTRIBUTIONS (review JVs other than Revenue Distribution)</v>
      </c>
      <c r="E17" s="69"/>
      <c r="G17" s="111"/>
      <c r="H17" s="108"/>
      <c r="I17" s="108"/>
      <c r="K17" s="108"/>
    </row>
    <row r="18" spans="2:13">
      <c r="B18" s="69"/>
      <c r="C18" s="107" t="str">
        <f>+'JAN WKSHT'!C18</f>
        <v>REVENUE REFUNDS</v>
      </c>
      <c r="D18" s="107"/>
      <c r="E18" s="69"/>
    </row>
    <row r="19" spans="2:13">
      <c r="B19" s="69"/>
      <c r="C19" s="107"/>
      <c r="D19" s="107" t="str">
        <f>+'JAN WKSHT'!D19</f>
        <v>R284</v>
      </c>
      <c r="E19" s="69"/>
      <c r="G19" s="131"/>
      <c r="J19" s="108">
        <f>+G19+'JAN WKSHT'!J19</f>
        <v>0</v>
      </c>
    </row>
    <row r="20" spans="2:13">
      <c r="B20" s="69"/>
      <c r="C20" s="107"/>
      <c r="D20" s="107" t="str">
        <f>+'JAN WKSHT'!D20</f>
        <v>R285</v>
      </c>
      <c r="E20" s="69"/>
      <c r="G20" s="133">
        <v>-3350.62</v>
      </c>
      <c r="J20" s="69">
        <f>+G20+'JAN WKSHT'!J20</f>
        <v>-52292.07</v>
      </c>
    </row>
    <row r="21" spans="2:13">
      <c r="B21" s="69"/>
      <c r="C21" s="107"/>
      <c r="D21" s="107" t="str">
        <f>+'JAN WKSHT'!D21</f>
        <v>R286</v>
      </c>
      <c r="E21" s="69"/>
      <c r="G21" s="130">
        <v>-945.04</v>
      </c>
      <c r="H21" s="69">
        <f>SUM(G19:G21)</f>
        <v>-4295.66</v>
      </c>
      <c r="J21" s="73">
        <f>+G21+'JAN WKSHT'!J21</f>
        <v>-14749.029999999999</v>
      </c>
      <c r="K21" s="69">
        <f>SUM(J19:J21)</f>
        <v>-67041.100000000006</v>
      </c>
      <c r="L21" s="69">
        <f>+J52+J53+J77+J78-K21</f>
        <v>4295.6600000000108</v>
      </c>
    </row>
    <row r="22" spans="2:13">
      <c r="B22" s="69"/>
      <c r="C22" s="107" t="str">
        <f>+'JAN WKSHT'!C22</f>
        <v>UNHONORED CHECKS</v>
      </c>
      <c r="E22" s="69"/>
      <c r="L22" s="94"/>
      <c r="M22" s="8"/>
    </row>
    <row r="23" spans="2:13">
      <c r="B23" s="69"/>
      <c r="D23" s="107" t="str">
        <f>+'JAN WKSHT'!D23</f>
        <v>R284</v>
      </c>
      <c r="E23" s="69"/>
      <c r="G23" s="131"/>
      <c r="J23" s="108">
        <f>+G23+'JAN WKSHT'!J23</f>
        <v>0</v>
      </c>
    </row>
    <row r="24" spans="2:13">
      <c r="B24" s="69"/>
      <c r="D24" s="107" t="str">
        <f>+'JAN WKSHT'!D24</f>
        <v>R285</v>
      </c>
      <c r="E24" s="69"/>
      <c r="G24" s="133"/>
      <c r="J24" s="69">
        <f>+G24+'JAN WKSHT'!J24</f>
        <v>0</v>
      </c>
    </row>
    <row r="25" spans="2:13">
      <c r="B25" s="69"/>
      <c r="D25" s="107" t="str">
        <f>+'JAN WKSHT'!D25</f>
        <v>R286</v>
      </c>
      <c r="E25" s="69"/>
      <c r="G25" s="130"/>
      <c r="H25" s="69">
        <f>SUM(G23:G25)</f>
        <v>0</v>
      </c>
      <c r="J25" s="73">
        <f>+G25+'JAN WKSHT'!J25</f>
        <v>0</v>
      </c>
      <c r="K25" s="69">
        <f>SUM(J23:J25)</f>
        <v>0</v>
      </c>
      <c r="L25" s="69">
        <f>+J55+J80-K25</f>
        <v>0</v>
      </c>
    </row>
    <row r="26" spans="2:13">
      <c r="B26" s="69"/>
      <c r="C26" s="107" t="str">
        <f>+'JAN WKSHT'!C26</f>
        <v>RECEIPT ADJUSTMENTS</v>
      </c>
      <c r="E26" s="69"/>
      <c r="H26" s="112"/>
      <c r="I26" s="112"/>
    </row>
    <row r="27" spans="2:13">
      <c r="B27" s="69"/>
      <c r="D27" s="107" t="str">
        <f>+'JAN WKSHT'!D27</f>
        <v>R284</v>
      </c>
      <c r="E27" s="69"/>
      <c r="G27" s="131">
        <v>-55478.93</v>
      </c>
      <c r="J27" s="108">
        <f>+G27+'JAN WKSHT'!J27</f>
        <v>-752711.13</v>
      </c>
    </row>
    <row r="28" spans="2:13">
      <c r="B28" s="69"/>
      <c r="D28" s="107" t="str">
        <f>+'JAN WKSHT'!D28</f>
        <v>R285</v>
      </c>
      <c r="E28" s="69"/>
      <c r="G28" s="133">
        <v>49243.92</v>
      </c>
      <c r="J28" s="69">
        <f>+G28+'JAN WKSHT'!J28</f>
        <v>576042.61</v>
      </c>
    </row>
    <row r="29" spans="2:13">
      <c r="B29" s="69"/>
      <c r="D29" s="107" t="str">
        <f>+'JAN WKSHT'!D29</f>
        <v>R286</v>
      </c>
      <c r="E29" s="69"/>
      <c r="G29" s="130">
        <v>13889.3</v>
      </c>
      <c r="H29" s="73">
        <f>SUM(G27:G29)</f>
        <v>7654.2899999999972</v>
      </c>
      <c r="J29" s="73">
        <f>+G29+'JAN WKSHT'!J29</f>
        <v>162473.54999999999</v>
      </c>
      <c r="K29" s="73">
        <f>SUM(J27:J29)</f>
        <v>-14194.97000000003</v>
      </c>
      <c r="L29" s="69">
        <f>+J56+J81-K29</f>
        <v>5.8207660913467407E-11</v>
      </c>
    </row>
    <row r="30" spans="2:13" ht="13.5" thickBot="1">
      <c r="B30" s="69"/>
      <c r="D30" s="107" t="str">
        <f>+'JAN WKSHT'!D30</f>
        <v>NET RECEIPTS TO BE DISTRIBUTED</v>
      </c>
      <c r="E30" s="69"/>
      <c r="H30" s="113">
        <f>SUM(H15:H29)</f>
        <v>14981785.030000001</v>
      </c>
      <c r="I30" s="109"/>
      <c r="K30" s="113">
        <f>SUM(K15:K29)</f>
        <v>112051265.13</v>
      </c>
      <c r="L30" s="128"/>
      <c r="M30" s="8"/>
    </row>
    <row r="32" spans="2:13">
      <c r="B32" s="107" t="str">
        <f>+'JAN WKSHT'!B32</f>
        <v>TOTAL</v>
      </c>
      <c r="D32" s="69"/>
      <c r="L32" s="8"/>
    </row>
    <row r="33" spans="1:11">
      <c r="C33" s="107" t="str">
        <f>+'JAN WKSHT'!C33</f>
        <v>R284</v>
      </c>
      <c r="D33" s="69"/>
      <c r="G33" s="108">
        <f>+G27+G23+G19+H11</f>
        <v>2210057.3699999996</v>
      </c>
      <c r="J33" s="108">
        <f>+J27+J23+J19+K11</f>
        <v>16713323.279999999</v>
      </c>
    </row>
    <row r="34" spans="1:11">
      <c r="C34" s="107" t="str">
        <f>+'JAN WKSHT'!C34</f>
        <v>R285</v>
      </c>
      <c r="D34" s="69"/>
      <c r="G34" s="69">
        <f>+G28+G24+G20+G13</f>
        <v>9961947.5200000014</v>
      </c>
      <c r="J34" s="69">
        <f>+J28+J24+J20+J13</f>
        <v>74363594.5</v>
      </c>
    </row>
    <row r="35" spans="1:11">
      <c r="C35" s="107" t="str">
        <f>+'JAN WKSHT'!C35</f>
        <v>R286</v>
      </c>
      <c r="D35" s="69"/>
      <c r="G35" s="73">
        <f>+G29+G25+G21+G14</f>
        <v>2809780.1399999997</v>
      </c>
      <c r="H35" s="108">
        <f>SUM(G33:G35)</f>
        <v>14981785.030000001</v>
      </c>
      <c r="J35" s="73">
        <f>+J29+J25+J21+J14</f>
        <v>20974347.350000001</v>
      </c>
      <c r="K35" s="108">
        <f>SUM(J33:J35)</f>
        <v>112051265.13</v>
      </c>
    </row>
    <row r="36" spans="1:11">
      <c r="G36"/>
      <c r="H36"/>
    </row>
    <row r="37" spans="1:11" ht="15">
      <c r="C37" s="259" t="s">
        <v>60</v>
      </c>
      <c r="D37" s="212"/>
      <c r="E37" s="212"/>
      <c r="F37" s="212"/>
      <c r="G37" s="223" t="s">
        <v>61</v>
      </c>
      <c r="H37" s="229">
        <v>2400001414</v>
      </c>
      <c r="J37" s="228"/>
      <c r="K37" s="276"/>
    </row>
    <row r="38" spans="1:11">
      <c r="C38" s="212"/>
      <c r="D38" s="227"/>
      <c r="E38" s="212" t="s">
        <v>59</v>
      </c>
      <c r="F38" s="212"/>
      <c r="G38" s="212"/>
      <c r="H38" s="165">
        <f>SUM(G39:G41)</f>
        <v>4295.66</v>
      </c>
    </row>
    <row r="39" spans="1:11">
      <c r="C39" s="212"/>
      <c r="D39" s="212"/>
      <c r="E39" s="227" t="s">
        <v>66</v>
      </c>
      <c r="F39" s="227"/>
      <c r="G39" s="165">
        <f>-G19</f>
        <v>0</v>
      </c>
      <c r="H39" s="212"/>
    </row>
    <row r="40" spans="1:11">
      <c r="C40" s="212"/>
      <c r="D40" s="212"/>
      <c r="E40" s="227" t="s">
        <v>65</v>
      </c>
      <c r="F40" s="212"/>
      <c r="G40" s="212">
        <f>-G20</f>
        <v>3350.62</v>
      </c>
      <c r="H40" s="212"/>
    </row>
    <row r="41" spans="1:11">
      <c r="C41" s="212"/>
      <c r="D41" s="212"/>
      <c r="E41" s="227" t="s">
        <v>66</v>
      </c>
      <c r="F41" s="212"/>
      <c r="G41" s="212">
        <f>-G21</f>
        <v>945.04</v>
      </c>
      <c r="H41" s="212"/>
    </row>
    <row r="42" spans="1:11">
      <c r="C42" s="259" t="s">
        <v>72</v>
      </c>
      <c r="D42" s="212"/>
      <c r="E42" s="227"/>
      <c r="F42" s="274"/>
      <c r="G42" s="370"/>
      <c r="H42" s="212"/>
    </row>
    <row r="43" spans="1:11">
      <c r="C43" s="212"/>
      <c r="D43" s="212"/>
      <c r="E43" s="227"/>
      <c r="F43" s="212"/>
      <c r="G43" s="165"/>
      <c r="H43" s="212"/>
    </row>
    <row r="44" spans="1:11" ht="8.25" customHeight="1">
      <c r="C44" s="172"/>
      <c r="D44" s="172"/>
      <c r="E44" s="179"/>
      <c r="F44" s="172"/>
      <c r="G44" s="123"/>
      <c r="H44" s="172"/>
    </row>
    <row r="45" spans="1:11">
      <c r="A45" s="116" t="str">
        <f>+'JAN WKSHT'!A45</f>
        <v>LAW ENFORCEMENT FOUNDATION FUND (13DB-525-0000)</v>
      </c>
    </row>
    <row r="46" spans="1:11">
      <c r="A46" s="106"/>
      <c r="B46" s="107" t="str">
        <f>+'JAN WKSHT'!B46</f>
        <v>BALANCE FORWARDED FROM FISCAL YEAR 2023</v>
      </c>
      <c r="K46" s="108">
        <f>+'JAN WKSHT'!K46</f>
        <v>73871638.640000001</v>
      </c>
    </row>
    <row r="47" spans="1:11">
      <c r="A47" s="106"/>
      <c r="K47" s="108"/>
    </row>
    <row r="48" spans="1:11">
      <c r="B48" s="115" t="str">
        <f>+'JAN WKSHT'!B66</f>
        <v>CASH BALANCE JANUARY 31, 2024</v>
      </c>
      <c r="H48" s="108">
        <f>+'JAN WKSHT'!H66</f>
        <v>89525420.060000017</v>
      </c>
      <c r="I48" s="108"/>
    </row>
    <row r="49" spans="2:14">
      <c r="B49" s="107"/>
      <c r="H49" s="108"/>
      <c r="I49" s="108"/>
    </row>
    <row r="50" spans="2:14">
      <c r="B50" s="107" t="str">
        <f>+'JAN WKSHT'!B50</f>
        <v>REVENUE DISTRIBUTION INCOME (REVENUE DETAIL WORKSHEET):</v>
      </c>
      <c r="H50" s="117" t="s">
        <v>63</v>
      </c>
      <c r="K50" s="117" t="s">
        <v>63</v>
      </c>
      <c r="L50" s="172"/>
    </row>
    <row r="51" spans="2:14">
      <c r="C51" s="107" t="str">
        <f>+'JAN WKSHT'!C51</f>
        <v>REVENUE DISTRIBUTION (N114)</v>
      </c>
      <c r="G51" s="131">
        <v>13032249.48</v>
      </c>
      <c r="H51" s="118">
        <f>+H14*0.78</f>
        <v>9916054.2780000009</v>
      </c>
      <c r="J51" s="108">
        <f>+G51+'JAN WKSHT'!J51</f>
        <v>73839843.959999993</v>
      </c>
      <c r="K51" s="118">
        <f>+K14*0.78</f>
        <v>73839844.096199989</v>
      </c>
    </row>
    <row r="52" spans="2:14">
      <c r="C52" s="107" t="str">
        <f>+'JAN WKSHT'!C52</f>
        <v>REVENUE REFUNDS:  PRIOR YEAR</v>
      </c>
      <c r="G52" s="133"/>
      <c r="J52" s="69">
        <f>+G52+'JAN WKSHT'!J52</f>
        <v>0</v>
      </c>
    </row>
    <row r="53" spans="2:14">
      <c r="C53" s="107" t="str">
        <f>+'JAN WKSHT'!C53</f>
        <v>REVENUE REFUNDS:  CURRENT YEAR</v>
      </c>
      <c r="G53" s="133">
        <v>-528.97</v>
      </c>
      <c r="J53" s="69">
        <f>+G53+'JAN WKSHT'!J53</f>
        <v>-48941.45</v>
      </c>
    </row>
    <row r="54" spans="2:14">
      <c r="C54" s="107" t="str">
        <f>+'JAN WKSHT'!C54</f>
        <v>REFUND OF PRIOR YEAR DISBURSEMENTS (R881)</v>
      </c>
      <c r="G54" s="133"/>
      <c r="J54" s="69">
        <f>+G54+'JAN WKSHT'!J54</f>
        <v>0</v>
      </c>
    </row>
    <row r="55" spans="2:14">
      <c r="C55" s="107" t="str">
        <f>+'JAN WKSHT'!C55</f>
        <v>UNHONORED CHECKS</v>
      </c>
      <c r="G55" s="133"/>
      <c r="J55" s="69">
        <f>+G55+'JAN WKSHT'!J55</f>
        <v>0</v>
      </c>
      <c r="M55" s="114"/>
      <c r="N55" s="110"/>
    </row>
    <row r="56" spans="2:14">
      <c r="C56" s="107" t="str">
        <f>+'JAN WKSHT'!C56</f>
        <v>RECEIPT ADJUSTMENTS</v>
      </c>
      <c r="G56" s="130">
        <v>77769.91</v>
      </c>
      <c r="H56" s="69">
        <f>SUM(G51:G56)</f>
        <v>13109490.42</v>
      </c>
      <c r="J56" s="73">
        <f>+G56+'JAN WKSHT'!J56</f>
        <v>576042.61</v>
      </c>
      <c r="K56" s="69">
        <f>SUM(J51:J56)</f>
        <v>74366945.11999999</v>
      </c>
      <c r="N56" s="110"/>
    </row>
    <row r="57" spans="2:14">
      <c r="N57" s="110"/>
    </row>
    <row r="58" spans="2:14">
      <c r="B58" s="107" t="str">
        <f>+'JAN WKSHT'!B58</f>
        <v>INVESTMENT INCOME (R771)</v>
      </c>
      <c r="C58" s="69"/>
      <c r="H58" s="133">
        <v>397526.07</v>
      </c>
      <c r="K58" s="69">
        <f>+H58+'JAN WKSHT'!K58</f>
        <v>2760222.3499999996</v>
      </c>
      <c r="N58" s="110"/>
    </row>
    <row r="59" spans="2:14">
      <c r="L59" s="147" t="s">
        <v>50</v>
      </c>
      <c r="M59" s="114"/>
      <c r="N59" s="110"/>
    </row>
    <row r="60" spans="2:14">
      <c r="B60" s="107" t="str">
        <f>+'JAN WKSHT'!B60</f>
        <v>OTHER REVENUE</v>
      </c>
      <c r="H60" s="133"/>
      <c r="K60" s="69">
        <f>+H60+'JAN WKSHT'!K60</f>
        <v>6110.11</v>
      </c>
      <c r="L60" s="235">
        <f>6055782.15+'JAN WKSHT'!L60</f>
        <v>21567107.940000001</v>
      </c>
      <c r="N60" s="110"/>
    </row>
    <row r="61" spans="2:14">
      <c r="L61" s="141" t="s">
        <v>54</v>
      </c>
      <c r="M61" s="114"/>
      <c r="N61" s="110"/>
    </row>
    <row r="62" spans="2:14">
      <c r="B62" s="107" t="str">
        <f>+'JAN WKSHT'!B62</f>
        <v>EXPENDITURES (LAW ENFORCEMENT SUMMARY)</v>
      </c>
      <c r="H62" s="110"/>
      <c r="I62" s="110"/>
      <c r="J62" s="110"/>
      <c r="K62" s="110"/>
      <c r="L62" s="141">
        <f>+K46</f>
        <v>73871638.640000001</v>
      </c>
      <c r="N62" s="110"/>
    </row>
    <row r="63" spans="2:14">
      <c r="B63" s="107"/>
      <c r="C63" s="6" t="str">
        <f>+'AUG WKSHT'!C63</f>
        <v>CASH EXPENDITURES</v>
      </c>
      <c r="D63" s="6"/>
      <c r="E63" s="6"/>
      <c r="F63" s="2"/>
      <c r="G63" s="2"/>
      <c r="H63" s="8"/>
      <c r="I63" s="8"/>
      <c r="J63" s="126">
        <v>55566169.640000001</v>
      </c>
      <c r="K63" s="8"/>
      <c r="L63" s="141" t="s">
        <v>55</v>
      </c>
      <c r="N63" s="110"/>
    </row>
    <row r="64" spans="2:14">
      <c r="B64" s="107"/>
      <c r="C64" s="6" t="str">
        <f>+'AUG WKSHT'!C64</f>
        <v>ACCRUED EXPENDITURES</v>
      </c>
      <c r="D64" s="6"/>
      <c r="E64" s="6"/>
      <c r="F64" s="2"/>
      <c r="G64" s="2"/>
      <c r="H64" s="77">
        <f>+K64-'JAN WKSHT'!K64</f>
        <v>7452171.0600000098</v>
      </c>
      <c r="I64" s="8"/>
      <c r="J64" s="124">
        <v>-141518.91</v>
      </c>
      <c r="K64" s="152">
        <f>SUM(J63:J64)</f>
        <v>55424650.730000004</v>
      </c>
      <c r="L64" s="141">
        <f>+J64</f>
        <v>-141518.91</v>
      </c>
      <c r="N64" s="110"/>
    </row>
    <row r="65" spans="1:14">
      <c r="L65" s="141" t="s">
        <v>53</v>
      </c>
      <c r="M65" s="177" t="s">
        <v>70</v>
      </c>
      <c r="N65" s="110"/>
    </row>
    <row r="66" spans="1:14" ht="13.5" thickBot="1">
      <c r="B66" s="369" t="s">
        <v>109</v>
      </c>
      <c r="C66" s="144"/>
      <c r="D66" s="144"/>
      <c r="E66" s="144"/>
      <c r="H66" s="119">
        <f>+H48+H56+H58+H60-H64</f>
        <v>95580265.49000001</v>
      </c>
      <c r="K66" s="119">
        <f>+K46+K56+K58+K60-K64</f>
        <v>95580265.489999995</v>
      </c>
      <c r="L66" s="156">
        <f>+L60+L62-L64</f>
        <v>95580265.489999995</v>
      </c>
      <c r="M66" s="8">
        <f>L66-K66</f>
        <v>0</v>
      </c>
      <c r="N66" s="110"/>
    </row>
    <row r="67" spans="1:14" ht="6.75" customHeight="1" thickBot="1">
      <c r="L67" s="36"/>
      <c r="M67" s="8"/>
      <c r="N67" s="110"/>
    </row>
    <row r="68" spans="1:14">
      <c r="A68" s="116" t="str">
        <f>+'JAN WKSHT'!A68</f>
        <v>FIREFIGHTERS FOUNDATION FUND (1341-470-UNIT-PK00)</v>
      </c>
      <c r="G68" s="120"/>
      <c r="L68" s="371" t="s">
        <v>44</v>
      </c>
      <c r="M68" s="8"/>
      <c r="N68" s="110"/>
    </row>
    <row r="69" spans="1:14" ht="13.5" thickBot="1">
      <c r="A69" s="107"/>
      <c r="B69" s="100" t="str">
        <f>+B46</f>
        <v>BALANCE FORWARDED FROM FISCAL YEAR 2023</v>
      </c>
      <c r="K69" s="108">
        <f>+'JAN WKSHT'!K69</f>
        <v>38612985.210000001</v>
      </c>
      <c r="L69" s="372">
        <f>+J51-J13</f>
        <v>0</v>
      </c>
      <c r="M69" s="8"/>
      <c r="N69" s="110"/>
    </row>
    <row r="70" spans="1:14">
      <c r="A70" s="121" t="s">
        <v>33</v>
      </c>
      <c r="K70" s="108"/>
      <c r="L70" s="16"/>
      <c r="M70" s="8"/>
      <c r="N70" s="110"/>
    </row>
    <row r="71" spans="1:14">
      <c r="B71" s="107" t="str">
        <f>+B48</f>
        <v>CASH BALANCE JANUARY 31, 2024</v>
      </c>
      <c r="G71" s="122" t="s">
        <v>32</v>
      </c>
      <c r="H71" s="108">
        <f>+'JAN WKSHT'!H89</f>
        <v>39121732.979999989</v>
      </c>
      <c r="I71" s="108"/>
      <c r="L71" s="2"/>
      <c r="M71" s="8"/>
      <c r="N71" s="110"/>
    </row>
    <row r="72" spans="1:14">
      <c r="B72" s="107"/>
      <c r="H72" s="108"/>
      <c r="I72" s="108"/>
      <c r="L72" s="2"/>
      <c r="M72" s="8"/>
      <c r="N72" s="110"/>
    </row>
    <row r="73" spans="1:14">
      <c r="B73" s="115" t="str">
        <f>+B50</f>
        <v>REVENUE DISTRIBUTION INCOME (REVENUE DETAIL WORKSHEET):</v>
      </c>
      <c r="L73" s="2"/>
      <c r="M73" s="8"/>
      <c r="N73" s="110"/>
    </row>
    <row r="74" spans="1:14">
      <c r="C74" s="107" t="str">
        <f>+C51</f>
        <v>REVENUE DISTRIBUTION (N114)</v>
      </c>
      <c r="H74" s="117" t="s">
        <v>64</v>
      </c>
      <c r="K74" s="117"/>
      <c r="L74" s="2"/>
      <c r="M74" s="8"/>
      <c r="N74" s="110"/>
    </row>
    <row r="75" spans="1:14">
      <c r="C75" s="107"/>
      <c r="D75" s="107" t="str">
        <f>+'JAN WKSHT'!D75</f>
        <v>FIREFIGHTERS FUND</v>
      </c>
      <c r="F75" s="131">
        <v>3675762.75</v>
      </c>
      <c r="G75" s="123" t="s">
        <v>32</v>
      </c>
      <c r="H75" s="118">
        <f>+H14*0.22</f>
        <v>2796835.8220000002</v>
      </c>
      <c r="J75" s="108"/>
      <c r="K75" s="118"/>
      <c r="L75" s="138" t="s">
        <v>43</v>
      </c>
      <c r="M75" s="8"/>
      <c r="N75" s="110"/>
    </row>
    <row r="76" spans="1:14">
      <c r="C76" s="107"/>
      <c r="D76" s="107" t="str">
        <f>+'JAN WKSHT'!D76</f>
        <v>VOLUNTEER FIRE DEPT AID</v>
      </c>
      <c r="F76" s="130">
        <v>2269863.46</v>
      </c>
      <c r="G76" s="108">
        <f>SUM(F75:F76)</f>
        <v>5945626.21</v>
      </c>
      <c r="J76" s="108">
        <f>+G76+'JAN WKSHT'!J76</f>
        <v>38292657.240000002</v>
      </c>
      <c r="L76" s="141">
        <f>+K11+J14</f>
        <v>38292657.240000002</v>
      </c>
      <c r="M76" s="8"/>
      <c r="N76" s="110"/>
    </row>
    <row r="77" spans="1:14">
      <c r="C77" s="107" t="str">
        <f>+C52</f>
        <v>REVENUE REFUNDS:  PRIOR YEAR</v>
      </c>
      <c r="G77" s="133"/>
      <c r="J77" s="69">
        <f>+G77+'JAN WKSHT'!J77</f>
        <v>0</v>
      </c>
      <c r="L77" s="139" t="s">
        <v>44</v>
      </c>
      <c r="M77" s="8"/>
      <c r="N77" s="110"/>
    </row>
    <row r="78" spans="1:14">
      <c r="C78" s="100" t="str">
        <f>+C53</f>
        <v>REVENUE REFUNDS:  CURRENT YEAR</v>
      </c>
      <c r="G78" s="133">
        <v>-149.19999999999999</v>
      </c>
      <c r="J78" s="69">
        <f>+G78+'JAN WKSHT'!J78</f>
        <v>-13803.99</v>
      </c>
      <c r="L78" s="168"/>
      <c r="M78" s="8"/>
      <c r="N78" s="110"/>
    </row>
    <row r="79" spans="1:14">
      <c r="C79" s="107" t="str">
        <f>+C54</f>
        <v>REFUND OF PRIOR YEAR DISBURSEMENTS (R881)</v>
      </c>
      <c r="G79" s="133"/>
      <c r="J79" s="69">
        <f>+G79+'JAN WKSHT'!J79</f>
        <v>0</v>
      </c>
      <c r="L79" s="2"/>
      <c r="M79" s="8"/>
      <c r="N79" s="110"/>
    </row>
    <row r="80" spans="1:14">
      <c r="C80" s="100" t="str">
        <f>+C55</f>
        <v>UNHONORED CHECKS</v>
      </c>
      <c r="G80" s="133"/>
      <c r="J80" s="69">
        <f>+G80+'JAN WKSHT'!J80</f>
        <v>0</v>
      </c>
      <c r="L80" s="2"/>
      <c r="M80" s="8"/>
      <c r="N80" s="110"/>
    </row>
    <row r="81" spans="2:14">
      <c r="C81" s="100" t="str">
        <f>+C56</f>
        <v>RECEIPT ADJUSTMENTS</v>
      </c>
      <c r="G81" s="130">
        <v>-64336.04</v>
      </c>
      <c r="H81" s="69">
        <f>SUM(G75:G81)</f>
        <v>5881140.9699999997</v>
      </c>
      <c r="J81" s="73">
        <f>+G81+'JAN WKSHT'!J81</f>
        <v>-590237.57999999996</v>
      </c>
      <c r="K81" s="69">
        <f>SUM(J76:J81)</f>
        <v>37688615.670000002</v>
      </c>
      <c r="L81" s="2"/>
      <c r="M81" s="8"/>
      <c r="N81" s="110"/>
    </row>
    <row r="82" spans="2:14">
      <c r="L82" s="2"/>
      <c r="M82" s="8"/>
      <c r="N82" s="110"/>
    </row>
    <row r="83" spans="2:14">
      <c r="B83" s="107" t="str">
        <f>+B58</f>
        <v>INVESTMENT INCOME (R771)</v>
      </c>
      <c r="C83" s="69"/>
      <c r="H83" s="133">
        <v>19610.310000000001</v>
      </c>
      <c r="K83" s="69">
        <f>+H83+'JAN WKSHT'!K83</f>
        <v>1334582.4200000002</v>
      </c>
      <c r="L83" s="2"/>
      <c r="M83" s="8"/>
      <c r="N83" s="110"/>
    </row>
    <row r="84" spans="2:14">
      <c r="L84" s="147" t="s">
        <v>50</v>
      </c>
      <c r="M84" s="8"/>
      <c r="N84" s="110"/>
    </row>
    <row r="85" spans="2:14">
      <c r="B85" s="107" t="str">
        <f>+B60</f>
        <v>OTHER REVENUE</v>
      </c>
      <c r="C85" s="69"/>
      <c r="H85" s="133"/>
      <c r="K85" s="69">
        <f>+H85+'JAN WKSHT'!K85</f>
        <v>0</v>
      </c>
      <c r="L85" s="148">
        <f>3713644.63+'JAN WKSHT'!L85</f>
        <v>4222392.4000000004</v>
      </c>
      <c r="M85" s="8"/>
      <c r="N85" s="110"/>
    </row>
    <row r="86" spans="2:14">
      <c r="L86" s="141" t="s">
        <v>54</v>
      </c>
      <c r="M86" s="8"/>
      <c r="N86" s="110"/>
    </row>
    <row r="87" spans="2:14">
      <c r="B87" s="107" t="str">
        <f>+'JAN WKSHT'!B87</f>
        <v>EXPENDITURES (FIREFIGHTERS SUMMARY)</v>
      </c>
      <c r="G87" s="122" t="s">
        <v>32</v>
      </c>
      <c r="H87" s="73">
        <f>+K87-'JAN WKSHT'!K87</f>
        <v>2187106.6499999985</v>
      </c>
      <c r="K87" s="130">
        <v>34800805.689999998</v>
      </c>
      <c r="L87" s="141">
        <f>+K69</f>
        <v>38612985.210000001</v>
      </c>
      <c r="M87" s="8"/>
      <c r="N87" s="110"/>
    </row>
    <row r="88" spans="2:14">
      <c r="L88" s="141" t="s">
        <v>53</v>
      </c>
      <c r="M88" s="177" t="s">
        <v>70</v>
      </c>
      <c r="N88" s="110"/>
    </row>
    <row r="89" spans="2:14" ht="13.5" thickBot="1">
      <c r="B89" s="100" t="str">
        <f>+B66</f>
        <v>CASH BALANCE FEBRUARY 28, 2024</v>
      </c>
      <c r="H89" s="119">
        <f>+H71+H81+H83+H85-H87</f>
        <v>42835377.609999992</v>
      </c>
      <c r="K89" s="119">
        <f>+K69+K81+K83+K85-K87</f>
        <v>42835377.609999999</v>
      </c>
      <c r="L89" s="156">
        <f>+L85+L87</f>
        <v>42835377.609999999</v>
      </c>
      <c r="M89" s="8">
        <f>L89-K89</f>
        <v>0</v>
      </c>
      <c r="N89" s="110"/>
    </row>
    <row r="90" spans="2:14">
      <c r="L90" s="2"/>
    </row>
    <row r="91" spans="2:14">
      <c r="L91" s="2"/>
    </row>
  </sheetData>
  <phoneticPr fontId="12" type="noConversion"/>
  <printOptions horizontalCentered="1" verticalCentered="1"/>
  <pageMargins left="0.25" right="0.25" top="0.75" bottom="0.75" header="0.3" footer="0.3"/>
  <pageSetup scale="62" orientation="portrait" r:id="rId1"/>
  <headerFooter alignWithMargins="0">
    <oddHeader>&amp;R&amp;F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65"/>
  <sheetViews>
    <sheetView workbookViewId="0">
      <selection activeCell="O14" sqref="O14"/>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2" width="14.7109375" style="2" customWidth="1"/>
    <col min="13" max="13" width="15.85546875" style="2" customWidth="1"/>
    <col min="14" max="14" width="1.7109375" style="2" customWidth="1"/>
    <col min="15" max="15" width="10.28515625" style="2"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+'FEB WKSHT'!A4</f>
        <v>FOR THE PERIOD FEBRUARY 1, 2024 - FEBRUARY 28, 2024</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64"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+'FEB WKSHT'!H11</f>
        <v>2265536.2999999998</v>
      </c>
      <c r="I11" s="13"/>
      <c r="J11" s="34"/>
      <c r="K11" s="42"/>
      <c r="L11" s="13">
        <f>+'FEB WKSHT'!K11</f>
        <v>17466034.41</v>
      </c>
      <c r="M11" s="13"/>
      <c r="N11" s="34"/>
    </row>
    <row r="12" spans="1:15">
      <c r="A12" s="53"/>
      <c r="B12" s="31"/>
      <c r="C12" s="31" t="str">
        <f>+JUL!C12</f>
        <v>LAW ENFORCEMENT AND FIREFIGHTERS FUND</v>
      </c>
      <c r="D12" s="32"/>
      <c r="E12" s="33"/>
      <c r="F12" s="35"/>
      <c r="G12" s="42"/>
      <c r="H12" s="11">
        <f>+'FEB WKSHT'!H14</f>
        <v>12712890.100000001</v>
      </c>
      <c r="I12" s="13">
        <f>SUM(H11:H12)</f>
        <v>14978426.400000002</v>
      </c>
      <c r="J12" s="34"/>
      <c r="K12" s="42"/>
      <c r="L12" s="11">
        <f>+'FEB WKSHT'!K14</f>
        <v>94666466.789999992</v>
      </c>
      <c r="M12" s="13">
        <f>SUM(L11:L12)</f>
        <v>112132501.19999999</v>
      </c>
      <c r="N12" s="34"/>
    </row>
    <row r="13" spans="1:15">
      <c r="A13" s="53"/>
      <c r="B13" s="31" t="str">
        <f>+JUL!B13</f>
        <v>REVENUE REFUNDS</v>
      </c>
      <c r="C13" s="33"/>
      <c r="D13" s="31"/>
      <c r="E13" s="33"/>
      <c r="F13" s="35"/>
      <c r="G13" s="42"/>
      <c r="H13" s="16"/>
      <c r="I13" s="16">
        <f>+'FEB WKSHT'!H21</f>
        <v>-4295.66</v>
      </c>
      <c r="J13" s="35"/>
      <c r="K13" s="42"/>
      <c r="L13" s="16"/>
      <c r="M13" s="16">
        <f>+'FEB WKSHT'!K21</f>
        <v>-67041.100000000006</v>
      </c>
      <c r="N13" s="35"/>
    </row>
    <row r="14" spans="1:15">
      <c r="A14" s="30"/>
      <c r="B14" s="31" t="str">
        <f>+JUL!B14</f>
        <v>UNHONORED CHECKS</v>
      </c>
      <c r="C14" s="33"/>
      <c r="D14" s="32"/>
      <c r="E14" s="33"/>
      <c r="F14" s="35"/>
      <c r="G14" s="42"/>
      <c r="H14" s="16"/>
      <c r="I14" s="16">
        <f>+'FEB WKSHT'!H25</f>
        <v>0</v>
      </c>
      <c r="J14" s="35"/>
      <c r="K14" s="42"/>
      <c r="L14" s="16"/>
      <c r="M14" s="16">
        <f>+'FEB WKSHT'!K25</f>
        <v>0</v>
      </c>
      <c r="N14" s="35"/>
    </row>
    <row r="15" spans="1:15">
      <c r="A15" s="30"/>
      <c r="B15" s="31" t="str">
        <f>+JUL!B15</f>
        <v>RECEIPT ADJUSTMENTS</v>
      </c>
      <c r="C15" s="33"/>
      <c r="D15" s="32"/>
      <c r="E15" s="33"/>
      <c r="F15" s="35"/>
      <c r="G15" s="42"/>
      <c r="H15" s="16"/>
      <c r="I15" s="36">
        <f>+'FEB WKSHT'!H29</f>
        <v>7654.2899999999972</v>
      </c>
      <c r="J15" s="37"/>
      <c r="K15" s="42"/>
      <c r="L15" s="16"/>
      <c r="M15" s="36">
        <f>+'FEB WKSHT'!K29</f>
        <v>-14194.97000000003</v>
      </c>
      <c r="N15" s="37"/>
    </row>
    <row r="16" spans="1:15" ht="13.5" thickBot="1">
      <c r="A16" s="50"/>
      <c r="B16" s="33"/>
      <c r="C16" s="31" t="str">
        <f>+JUL!C16</f>
        <v>NET RECEIPTS TO BE DISTRIBUTED</v>
      </c>
      <c r="D16" s="33"/>
      <c r="E16" s="33"/>
      <c r="F16" s="35"/>
      <c r="G16" s="42"/>
      <c r="H16" s="16"/>
      <c r="I16" s="22">
        <f>SUM(I10:I15)</f>
        <v>14981785.030000001</v>
      </c>
      <c r="J16" s="56"/>
      <c r="K16" s="42"/>
      <c r="L16" s="16"/>
      <c r="M16" s="22">
        <f>SUM(M10:M15)</f>
        <v>112051265.13</v>
      </c>
      <c r="N16" s="56"/>
      <c r="O16" s="2">
        <f>+I16-'FEB WKSHT'!H30</f>
        <v>0</v>
      </c>
    </row>
    <row r="17" spans="1:15" ht="13.5" thickBot="1">
      <c r="A17" s="38"/>
      <c r="B17" s="39"/>
      <c r="C17" s="39"/>
      <c r="D17" s="39"/>
      <c r="E17" s="39"/>
      <c r="F17" s="40"/>
      <c r="G17" s="43"/>
      <c r="H17" s="14"/>
      <c r="I17" s="14"/>
      <c r="J17" s="40"/>
      <c r="K17" s="43"/>
      <c r="L17" s="14"/>
      <c r="M17" s="14"/>
      <c r="N17" s="40"/>
      <c r="O17" s="2">
        <f>+M16-'FEB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+'FEB WKSHT'!K46</f>
        <v>73871638.640000001</v>
      </c>
      <c r="N22" s="35"/>
    </row>
    <row r="23" spans="1:15">
      <c r="A23" s="49"/>
      <c r="B23" s="44"/>
      <c r="C23" s="32"/>
      <c r="D23" s="32"/>
      <c r="E23" s="32"/>
      <c r="F23" s="35"/>
      <c r="G23" s="42"/>
      <c r="H23" s="16"/>
      <c r="I23" s="16"/>
      <c r="J23" s="35"/>
      <c r="K23" s="42"/>
      <c r="L23" s="16"/>
      <c r="M23" s="16"/>
      <c r="N23" s="35"/>
    </row>
    <row r="24" spans="1:15">
      <c r="A24" s="53"/>
      <c r="B24" s="31" t="str">
        <f>+'FEB WKSHT'!B48</f>
        <v>CASH BALANCE JANUARY 31, 2024</v>
      </c>
      <c r="C24" s="33"/>
      <c r="D24" s="32"/>
      <c r="E24" s="32"/>
      <c r="F24" s="35"/>
      <c r="G24" s="42"/>
      <c r="H24" s="16"/>
      <c r="I24" s="20">
        <f>+'FEB WKSHT'!H48</f>
        <v>89525420.060000017</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+'FEB WKSHT'!G51</f>
        <v>13032249.48</v>
      </c>
      <c r="I27" s="33"/>
      <c r="J27" s="57"/>
      <c r="K27" s="42"/>
      <c r="L27" s="20">
        <f>+'FEB WKSHT'!J51</f>
        <v>73839843.959999993</v>
      </c>
      <c r="M27" s="33"/>
      <c r="N27" s="57"/>
    </row>
    <row r="28" spans="1:15">
      <c r="A28" s="30"/>
      <c r="B28" s="32"/>
      <c r="C28" s="31" t="str">
        <f>+JUL!C28</f>
        <v>REVENUE REFUNDS:  PRIOR YEAR</v>
      </c>
      <c r="D28" s="32"/>
      <c r="E28" s="32"/>
      <c r="F28" s="35"/>
      <c r="G28" s="42"/>
      <c r="H28" s="16">
        <f>+'FEB WKSHT'!G52</f>
        <v>0</v>
      </c>
      <c r="I28" s="33"/>
      <c r="J28" s="57"/>
      <c r="K28" s="42"/>
      <c r="L28" s="16">
        <f>+'FEB WKSHT'!J52</f>
        <v>0</v>
      </c>
      <c r="M28" s="33"/>
      <c r="N28" s="57"/>
    </row>
    <row r="29" spans="1:15">
      <c r="A29" s="30"/>
      <c r="B29" s="32"/>
      <c r="C29" s="31" t="str">
        <f>+JUL!C29</f>
        <v>REVENUE REFUNDS:  CURRENT YEAR</v>
      </c>
      <c r="D29" s="32"/>
      <c r="E29" s="32"/>
      <c r="F29" s="35"/>
      <c r="G29" s="42"/>
      <c r="H29" s="16">
        <f>+'FEB WKSHT'!G53</f>
        <v>-528.97</v>
      </c>
      <c r="I29" s="33"/>
      <c r="J29" s="57"/>
      <c r="K29" s="42"/>
      <c r="L29" s="16">
        <f>+'FEB WKSHT'!J53</f>
        <v>-48941.45</v>
      </c>
      <c r="M29" s="33"/>
      <c r="N29" s="57"/>
    </row>
    <row r="30" spans="1:15">
      <c r="A30" s="30"/>
      <c r="B30" s="32"/>
      <c r="C30" s="31" t="str">
        <f>+JUL!C30</f>
        <v>REFUND OF PRIOR YEAR DISBURSEMENTS</v>
      </c>
      <c r="D30" s="32"/>
      <c r="E30" s="32"/>
      <c r="F30" s="35"/>
      <c r="G30" s="42"/>
      <c r="H30" s="16">
        <f>+'FEB WKSHT'!G54</f>
        <v>0</v>
      </c>
      <c r="I30" s="33"/>
      <c r="J30" s="57"/>
      <c r="K30" s="42"/>
      <c r="L30" s="16">
        <f>+'FEB WKSHT'!J54</f>
        <v>0</v>
      </c>
      <c r="M30" s="33"/>
      <c r="N30" s="57"/>
    </row>
    <row r="31" spans="1:15">
      <c r="A31" s="30"/>
      <c r="B31" s="32"/>
      <c r="C31" s="31" t="str">
        <f>+JUL!C31</f>
        <v>UNHONORED CHECKS</v>
      </c>
      <c r="D31" s="32"/>
      <c r="E31" s="32"/>
      <c r="F31" s="35"/>
      <c r="G31" s="42"/>
      <c r="H31" s="16">
        <f>+'FEB WKSHT'!G55</f>
        <v>0</v>
      </c>
      <c r="I31" s="33"/>
      <c r="J31" s="57"/>
      <c r="K31" s="42"/>
      <c r="L31" s="16">
        <f>+'FEB WKSHT'!J55</f>
        <v>0</v>
      </c>
      <c r="M31" s="33"/>
      <c r="N31" s="57"/>
    </row>
    <row r="32" spans="1:15">
      <c r="A32" s="30"/>
      <c r="B32" s="32"/>
      <c r="C32" s="31" t="str">
        <f>+JUL!C32</f>
        <v>RECEIPT ADJUSTMENTS</v>
      </c>
      <c r="D32" s="32"/>
      <c r="E32" s="32"/>
      <c r="F32" s="35"/>
      <c r="G32" s="42"/>
      <c r="H32" s="11">
        <f>+'FEB WKSHT'!G56</f>
        <v>77769.91</v>
      </c>
      <c r="I32" s="16">
        <f>SUM(H27:H32)</f>
        <v>13109490.42</v>
      </c>
      <c r="J32" s="35"/>
      <c r="K32" s="42"/>
      <c r="L32" s="11">
        <f>+'FEB WKSHT'!J56</f>
        <v>576042.61</v>
      </c>
      <c r="M32" s="16">
        <f>SUM(L27:L32)</f>
        <v>74366945.11999999</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+'FEB WKSHT'!H58</f>
        <v>397526.07</v>
      </c>
      <c r="J34" s="35"/>
      <c r="K34" s="42"/>
      <c r="L34" s="16"/>
      <c r="M34" s="16">
        <f>+'FEB WKSHT'!K58</f>
        <v>2760222.3499999996</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+'FEB WKSHT'!H60</f>
        <v>0</v>
      </c>
      <c r="J36" s="35"/>
      <c r="K36" s="42"/>
      <c r="L36" s="16"/>
      <c r="M36" s="16">
        <f>+'FEB WKSHT'!K60</f>
        <v>6110.11</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+'FEB WKSHT'!H64</f>
        <v>7452171.0600000098</v>
      </c>
      <c r="J38" s="35"/>
      <c r="K38" s="42"/>
      <c r="L38" s="16"/>
      <c r="M38" s="11">
        <f>+'FEB WKSHT'!K64</f>
        <v>55424650.730000004</v>
      </c>
      <c r="N38" s="35"/>
    </row>
    <row r="39" spans="1:15">
      <c r="A39" s="30"/>
      <c r="B39" s="32"/>
      <c r="C39" s="32"/>
      <c r="D39" s="32"/>
      <c r="E39" s="32"/>
      <c r="F39" s="35"/>
      <c r="G39" s="42"/>
      <c r="H39" s="16"/>
      <c r="I39" s="16"/>
      <c r="J39" s="35"/>
      <c r="K39" s="42"/>
      <c r="L39" s="16"/>
      <c r="M39" s="16"/>
      <c r="N39" s="35"/>
    </row>
    <row r="40" spans="1:15" ht="13.5" thickBot="1">
      <c r="A40" s="53"/>
      <c r="B40" s="31" t="str">
        <f>+'FEB WKSHT'!B66</f>
        <v>CASH BALANCE FEBRUARY 28, 2024</v>
      </c>
      <c r="C40" s="32"/>
      <c r="D40" s="32"/>
      <c r="E40" s="32"/>
      <c r="F40" s="35"/>
      <c r="G40" s="42"/>
      <c r="H40" s="16"/>
      <c r="I40" s="21">
        <f>+I24+I32+I34+I36-I38</f>
        <v>95580265.49000001</v>
      </c>
      <c r="J40" s="56"/>
      <c r="K40" s="42"/>
      <c r="L40" s="16"/>
      <c r="M40" s="21">
        <f>+M22+M32+M34+M36-M38</f>
        <v>95580265.489999995</v>
      </c>
      <c r="N40" s="56"/>
      <c r="O40" s="2">
        <f>+I40-'FEB WKSHT'!H66</f>
        <v>0</v>
      </c>
    </row>
    <row r="41" spans="1:15" ht="13.5" thickBot="1">
      <c r="A41" s="38"/>
      <c r="B41" s="39"/>
      <c r="C41" s="39"/>
      <c r="D41" s="39"/>
      <c r="E41" s="39"/>
      <c r="F41" s="40"/>
      <c r="G41" s="43"/>
      <c r="H41" s="14"/>
      <c r="I41" s="14"/>
      <c r="J41" s="40"/>
      <c r="K41" s="43"/>
      <c r="L41" s="14"/>
      <c r="M41" s="14"/>
      <c r="N41" s="40"/>
      <c r="O41" s="2">
        <f>+M40-'FEB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+'FEB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JANUARY 31, 2024</v>
      </c>
      <c r="C48" s="32"/>
      <c r="D48" s="32"/>
      <c r="E48" s="32"/>
      <c r="F48" s="61"/>
      <c r="G48" s="42"/>
      <c r="H48" s="16"/>
      <c r="I48" s="20">
        <f>+'FEB WKSHT'!H71</f>
        <v>39121732.979999989</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+'FEB WKSHT'!G76</f>
        <v>5945626.21</v>
      </c>
      <c r="I51" s="33"/>
      <c r="J51" s="57"/>
      <c r="K51" s="42"/>
      <c r="L51" s="20">
        <f>+'FEB WKSHT'!J76</f>
        <v>38292657.240000002</v>
      </c>
      <c r="M51" s="33"/>
      <c r="N51" s="57"/>
    </row>
    <row r="52" spans="1:15">
      <c r="A52" s="30"/>
      <c r="B52" s="31"/>
      <c r="C52" s="31" t="str">
        <f>+JUL!C52</f>
        <v>REVENUE REFUNDS:  PRIOR YEAR</v>
      </c>
      <c r="D52" s="32"/>
      <c r="E52" s="32"/>
      <c r="F52" s="61"/>
      <c r="G52" s="42"/>
      <c r="H52" s="16">
        <f>+'FEB WKSHT'!G77</f>
        <v>0</v>
      </c>
      <c r="I52" s="33"/>
      <c r="J52" s="57"/>
      <c r="K52" s="42"/>
      <c r="L52" s="16">
        <f>+'FEB WKSHT'!J77</f>
        <v>0</v>
      </c>
      <c r="M52" s="33"/>
      <c r="N52" s="57"/>
    </row>
    <row r="53" spans="1:15">
      <c r="A53" s="30"/>
      <c r="B53" s="32"/>
      <c r="C53" s="31" t="str">
        <f>+JUL!C53</f>
        <v>REVENUE REFUNDS:  CURRENT YEAR</v>
      </c>
      <c r="D53" s="32"/>
      <c r="E53" s="32"/>
      <c r="F53" s="61"/>
      <c r="G53" s="42"/>
      <c r="H53" s="16">
        <f>+'FEB WKSHT'!G78</f>
        <v>-149.19999999999999</v>
      </c>
      <c r="I53" s="33"/>
      <c r="J53" s="57"/>
      <c r="K53" s="42"/>
      <c r="L53" s="16">
        <f>+'FEB WKSHT'!J78</f>
        <v>-13803.99</v>
      </c>
      <c r="M53" s="33"/>
      <c r="N53" s="57"/>
    </row>
    <row r="54" spans="1:15">
      <c r="A54" s="30"/>
      <c r="B54" s="31"/>
      <c r="C54" s="31" t="str">
        <f>+JUL!C54</f>
        <v>REFUND OF PRIOR YEAR DISBURSEMENTS</v>
      </c>
      <c r="D54" s="32"/>
      <c r="E54" s="32"/>
      <c r="F54" s="61"/>
      <c r="G54" s="42"/>
      <c r="H54" s="16">
        <f>+'FEB WKSHT'!G79</f>
        <v>0</v>
      </c>
      <c r="I54" s="33"/>
      <c r="J54" s="57"/>
      <c r="K54" s="42"/>
      <c r="L54" s="16">
        <f>+'FEB WKSHT'!J79</f>
        <v>0</v>
      </c>
      <c r="M54" s="33"/>
      <c r="N54" s="57"/>
    </row>
    <row r="55" spans="1:15">
      <c r="A55" s="30"/>
      <c r="B55" s="32"/>
      <c r="C55" s="31" t="str">
        <f>+JUL!C55</f>
        <v>UNHONORED CHECKS</v>
      </c>
      <c r="D55" s="32"/>
      <c r="E55" s="32"/>
      <c r="F55" s="61"/>
      <c r="G55" s="42"/>
      <c r="H55" s="16">
        <f>+'FEB WKSHT'!G80</f>
        <v>0</v>
      </c>
      <c r="I55" s="33"/>
      <c r="J55" s="57"/>
      <c r="K55" s="42"/>
      <c r="L55" s="16">
        <f>+'FEB WKSHT'!J80</f>
        <v>0</v>
      </c>
      <c r="M55" s="33"/>
      <c r="N55" s="57"/>
    </row>
    <row r="56" spans="1:15">
      <c r="A56" s="30"/>
      <c r="B56" s="32"/>
      <c r="C56" s="31" t="str">
        <f>+JUL!C56</f>
        <v>RECEIPT ADJUSTMENTS</v>
      </c>
      <c r="D56" s="32"/>
      <c r="E56" s="32"/>
      <c r="F56" s="61"/>
      <c r="G56" s="42"/>
      <c r="H56" s="11">
        <f>+'FEB WKSHT'!G81</f>
        <v>-64336.04</v>
      </c>
      <c r="I56" s="16">
        <f>SUM(H51:H56)</f>
        <v>5881140.9699999997</v>
      </c>
      <c r="J56" s="35"/>
      <c r="K56" s="42"/>
      <c r="L56" s="11">
        <f>+'FEB WKSHT'!J81</f>
        <v>-590237.57999999996</v>
      </c>
      <c r="M56" s="16">
        <f>SUM(L51:L56)</f>
        <v>37688615.670000002</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+'FEB WKSHT'!H83</f>
        <v>19610.310000000001</v>
      </c>
      <c r="J58" s="35"/>
      <c r="K58" s="42"/>
      <c r="L58" s="16"/>
      <c r="M58" s="16">
        <f>+'FEB WKSHT'!K83</f>
        <v>1334582.4200000002</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+'FEB WKSHT'!H85</f>
        <v>0</v>
      </c>
      <c r="J60" s="35"/>
      <c r="K60" s="42"/>
      <c r="L60" s="16"/>
      <c r="M60" s="16">
        <f>+'FEB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+'FEB WKSHT'!H87</f>
        <v>2187106.6499999985</v>
      </c>
      <c r="J62" s="35"/>
      <c r="K62" s="42"/>
      <c r="L62" s="16"/>
      <c r="M62" s="11">
        <f>+'FEB WKSHT'!K87</f>
        <v>34800805.689999998</v>
      </c>
      <c r="N62" s="35"/>
    </row>
    <row r="63" spans="1:15">
      <c r="A63" s="30"/>
      <c r="B63" s="32"/>
      <c r="C63" s="32"/>
      <c r="D63" s="32"/>
      <c r="E63" s="32"/>
      <c r="F63" s="61"/>
      <c r="G63" s="42"/>
      <c r="H63" s="16"/>
      <c r="I63" s="16"/>
      <c r="J63" s="35"/>
      <c r="K63" s="42"/>
      <c r="L63" s="16"/>
      <c r="M63" s="16"/>
      <c r="N63" s="35"/>
      <c r="O63" s="2">
        <f>+I64-'FEB WKSHT'!H89</f>
        <v>0</v>
      </c>
    </row>
    <row r="64" spans="1:15" ht="13.5" thickBot="1">
      <c r="A64" s="30">
        <f>+A38</f>
        <v>0</v>
      </c>
      <c r="B64" s="31" t="str">
        <f>+B40</f>
        <v>CASH BALANCE FEBRUARY 28, 2024</v>
      </c>
      <c r="C64" s="32"/>
      <c r="D64" s="32"/>
      <c r="E64" s="32"/>
      <c r="F64" s="61"/>
      <c r="G64" s="42"/>
      <c r="H64" s="16"/>
      <c r="I64" s="21">
        <f>+I48+I56+I58+I60-I62</f>
        <v>42835377.609999992</v>
      </c>
      <c r="J64" s="56"/>
      <c r="K64" s="42"/>
      <c r="L64" s="16"/>
      <c r="M64" s="21">
        <f>+M46+M56+M58+M60-M62</f>
        <v>42835377.609999999</v>
      </c>
      <c r="N64" s="56"/>
      <c r="O64" s="2">
        <f>+M64-'FEB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92"/>
  <sheetViews>
    <sheetView topLeftCell="A31" zoomScale="90" zoomScaleNormal="90" workbookViewId="0">
      <selection activeCell="K46" sqref="K46"/>
    </sheetView>
  </sheetViews>
  <sheetFormatPr defaultColWidth="9.140625" defaultRowHeight="12.75"/>
  <cols>
    <col min="1" max="4" width="3.7109375" style="6" customWidth="1"/>
    <col min="5" max="5" width="29.7109375" style="6" customWidth="1"/>
    <col min="6" max="7" width="14.7109375" style="2" customWidth="1"/>
    <col min="8" max="8" width="15.85546875" style="2" customWidth="1"/>
    <col min="9" max="9" width="1.7109375" style="2" customWidth="1"/>
    <col min="10" max="10" width="14.7109375" style="2" customWidth="1"/>
    <col min="11" max="11" width="15.85546875" style="2" customWidth="1"/>
    <col min="12" max="12" width="22.28515625" style="2" customWidth="1"/>
    <col min="13" max="13" width="15.140625" style="2" customWidth="1"/>
    <col min="14" max="14" width="16.7109375" style="2" customWidth="1"/>
    <col min="15" max="16384" width="9.140625" style="2"/>
  </cols>
  <sheetData>
    <row r="1" spans="1:12" ht="15">
      <c r="A1" s="58" t="s">
        <v>0</v>
      </c>
      <c r="B1" s="3"/>
      <c r="C1" s="3"/>
      <c r="D1" s="3"/>
      <c r="E1" s="3"/>
      <c r="F1" s="3"/>
      <c r="G1" s="3"/>
      <c r="H1" s="3"/>
      <c r="I1" s="3"/>
      <c r="J1" s="3"/>
      <c r="K1" s="3"/>
    </row>
    <row r="2" spans="1:12" ht="15">
      <c r="A2" s="59" t="s">
        <v>1</v>
      </c>
      <c r="B2" s="3"/>
      <c r="C2" s="3"/>
      <c r="D2" s="3"/>
      <c r="E2" s="3"/>
      <c r="F2" s="3"/>
      <c r="G2" s="3"/>
      <c r="H2" s="3"/>
      <c r="I2" s="3"/>
      <c r="J2" s="3"/>
      <c r="K2" s="3"/>
    </row>
    <row r="3" spans="1:12" ht="15">
      <c r="A3" s="58" t="s">
        <v>2</v>
      </c>
      <c r="B3" s="3"/>
      <c r="C3" s="3"/>
      <c r="D3" s="3"/>
      <c r="E3" s="3"/>
      <c r="F3" s="3"/>
      <c r="G3" s="3"/>
      <c r="H3" s="3"/>
      <c r="I3" s="3"/>
      <c r="J3" s="3"/>
      <c r="K3" s="3"/>
    </row>
    <row r="4" spans="1:12" ht="15">
      <c r="A4" s="137" t="s">
        <v>110</v>
      </c>
      <c r="B4" s="143"/>
      <c r="C4" s="143"/>
      <c r="D4" s="143"/>
      <c r="E4" s="143"/>
      <c r="F4" s="143"/>
      <c r="G4" s="3"/>
      <c r="H4" s="3"/>
      <c r="I4" s="3"/>
      <c r="J4" s="3"/>
      <c r="K4" s="3"/>
    </row>
    <row r="5" spans="1:12" ht="4.9000000000000004" customHeight="1" thickBot="1">
      <c r="A5" s="17"/>
      <c r="B5" s="17"/>
      <c r="C5" s="17"/>
      <c r="D5" s="17"/>
      <c r="E5" s="17"/>
      <c r="F5" s="17"/>
      <c r="G5" s="17"/>
      <c r="H5" s="17"/>
      <c r="I5" s="17"/>
      <c r="J5" s="17"/>
      <c r="K5" s="17"/>
    </row>
    <row r="6" spans="1:12">
      <c r="A6" s="82"/>
      <c r="B6" s="82"/>
      <c r="C6" s="82"/>
      <c r="D6" s="82"/>
      <c r="E6" s="82"/>
      <c r="F6" s="177"/>
      <c r="G6" s="177"/>
      <c r="H6" s="177"/>
      <c r="I6" s="177"/>
      <c r="J6" s="177"/>
      <c r="K6" s="177"/>
      <c r="L6" s="177"/>
    </row>
    <row r="7" spans="1:12">
      <c r="A7" s="82"/>
      <c r="B7" s="83"/>
      <c r="C7" s="83"/>
      <c r="D7" s="83"/>
      <c r="E7" s="82"/>
      <c r="F7" s="177"/>
      <c r="G7" s="84" t="s">
        <v>3</v>
      </c>
      <c r="H7" s="84"/>
      <c r="I7" s="85"/>
      <c r="J7" s="84" t="s">
        <v>4</v>
      </c>
      <c r="K7" s="204"/>
      <c r="L7" s="87" t="s">
        <v>5</v>
      </c>
    </row>
    <row r="8" spans="1:12">
      <c r="A8" s="176" t="str">
        <f>+'FEB WKSHT'!A8</f>
        <v>DEPARTMENT OF REVENUE SURTAX RECEIPTS COLLECTED (14E6-130-D130-R000-R284, R285, R286)</v>
      </c>
      <c r="B8" s="177"/>
      <c r="C8" s="177"/>
      <c r="D8" s="177"/>
      <c r="E8" s="177"/>
      <c r="F8" s="177"/>
      <c r="G8" s="177"/>
      <c r="H8" s="177"/>
      <c r="I8" s="177"/>
      <c r="J8" s="177"/>
      <c r="K8" s="177"/>
      <c r="L8" s="177"/>
    </row>
    <row r="9" spans="1:12">
      <c r="A9" s="177"/>
      <c r="B9" s="178" t="str">
        <f>+'FEB WKSHT'!B9</f>
        <v>GROSS RECEIPTS (REVENUE DISTRIBUTION)</v>
      </c>
      <c r="C9" s="178"/>
      <c r="D9" s="177"/>
      <c r="E9" s="180"/>
      <c r="F9" s="177"/>
      <c r="G9" s="177"/>
      <c r="H9" s="177"/>
      <c r="I9" s="177"/>
      <c r="J9" s="177"/>
      <c r="K9" s="177"/>
      <c r="L9" s="177"/>
    </row>
    <row r="10" spans="1:12">
      <c r="A10" s="177"/>
      <c r="B10" s="178"/>
      <c r="C10" s="178" t="str">
        <f>+'FEB WKSHT'!C10</f>
        <v>VOLUNTEER FIRE DEPARTMENT AID</v>
      </c>
      <c r="D10" s="177"/>
      <c r="E10" s="180"/>
      <c r="F10" s="177"/>
      <c r="G10" s="177"/>
      <c r="H10" s="177"/>
      <c r="I10" s="177"/>
      <c r="J10" s="177"/>
      <c r="K10" s="177"/>
      <c r="L10" s="177"/>
    </row>
    <row r="11" spans="1:12">
      <c r="A11" s="177"/>
      <c r="B11" s="177"/>
      <c r="C11" s="177"/>
      <c r="D11" s="178" t="str">
        <f>+'FEB WKSHT'!D11</f>
        <v>R284 Volunteer Fire Dept Aid Fund</v>
      </c>
      <c r="E11" s="180"/>
      <c r="F11" s="177"/>
      <c r="G11" s="177"/>
      <c r="H11" s="132">
        <v>2240410.2400000002</v>
      </c>
      <c r="I11" s="177"/>
      <c r="J11" s="177"/>
      <c r="K11" s="72">
        <f>+H11+'FEB WKSHT'!K11</f>
        <v>19706444.649999999</v>
      </c>
      <c r="L11" s="177"/>
    </row>
    <row r="12" spans="1:12">
      <c r="A12" s="177"/>
      <c r="B12" s="177"/>
      <c r="C12" s="178" t="str">
        <f>+'FEB WKSHT'!C12</f>
        <v>LAW ENFORCEMENT AND FIREFIGHTERS FUND</v>
      </c>
      <c r="D12" s="180"/>
      <c r="E12" s="180"/>
      <c r="F12" s="177"/>
      <c r="G12" s="72"/>
      <c r="H12" s="177"/>
      <c r="I12" s="177"/>
      <c r="J12" s="72"/>
      <c r="K12" s="177"/>
      <c r="L12" s="177"/>
    </row>
    <row r="13" spans="1:12">
      <c r="A13" s="177"/>
      <c r="B13" s="177"/>
      <c r="C13" s="177"/>
      <c r="D13" s="178" t="str">
        <f>+'FEB WKSHT'!D13</f>
        <v>R285 Law Enforcement Fund</v>
      </c>
      <c r="E13" s="180"/>
      <c r="F13" s="181"/>
      <c r="G13" s="132">
        <v>8692747.1500000004</v>
      </c>
      <c r="H13" s="177"/>
      <c r="I13" s="177"/>
      <c r="J13" s="72">
        <f>+G13+'FEB WKSHT'!J13</f>
        <v>82532591.109999999</v>
      </c>
      <c r="K13" s="177"/>
      <c r="L13" s="177"/>
    </row>
    <row r="14" spans="1:12">
      <c r="A14" s="177"/>
      <c r="B14" s="177"/>
      <c r="C14" s="177"/>
      <c r="D14" s="178" t="str">
        <f>+'FEB WKSHT'!D14</f>
        <v>R286 Firefighters Fund</v>
      </c>
      <c r="E14" s="180"/>
      <c r="F14" s="177"/>
      <c r="G14" s="182">
        <v>2451800.5</v>
      </c>
      <c r="H14" s="183">
        <f>SUM(G13:G14)</f>
        <v>11144547.65</v>
      </c>
      <c r="I14" s="72"/>
      <c r="J14" s="183">
        <f>+G14+'FEB WKSHT'!J14</f>
        <v>23278423.330000002</v>
      </c>
      <c r="K14" s="183">
        <f>SUM(J13:J14)</f>
        <v>105811014.44</v>
      </c>
      <c r="L14" s="180"/>
    </row>
    <row r="15" spans="1:12">
      <c r="A15" s="177"/>
      <c r="B15" s="177"/>
      <c r="C15" s="177"/>
      <c r="D15" s="180"/>
      <c r="E15" s="180"/>
      <c r="F15" s="177"/>
      <c r="G15" s="184"/>
      <c r="H15" s="72">
        <f>SUM(H11:H14)</f>
        <v>13384957.890000001</v>
      </c>
      <c r="I15" s="72"/>
      <c r="J15" s="185"/>
      <c r="K15" s="72">
        <f>SUM(K11:K14)</f>
        <v>125517459.09</v>
      </c>
      <c r="L15" s="172">
        <f>'MAR WKSHT'!P41</f>
        <v>0</v>
      </c>
    </row>
    <row r="16" spans="1:12">
      <c r="A16" s="177"/>
      <c r="B16" s="177"/>
      <c r="C16" s="177"/>
      <c r="D16" s="180"/>
      <c r="E16" s="180"/>
      <c r="F16" s="177"/>
      <c r="G16" s="184"/>
      <c r="H16" s="72"/>
      <c r="I16" s="72"/>
      <c r="J16" s="185"/>
      <c r="K16" s="72"/>
      <c r="L16" s="177"/>
    </row>
    <row r="17" spans="1:13">
      <c r="A17" s="177"/>
      <c r="B17" s="178" t="str">
        <f>+'FEB WKSHT'!B17</f>
        <v>OTHER DISTRIBUTIONS (review JVs other than Revenue Distribution)</v>
      </c>
      <c r="C17" s="177"/>
      <c r="D17" s="180"/>
      <c r="E17" s="180"/>
      <c r="F17" s="177"/>
      <c r="G17" s="186"/>
      <c r="H17" s="72"/>
      <c r="I17" s="72"/>
      <c r="J17" s="177"/>
      <c r="K17" s="72"/>
      <c r="L17" s="177"/>
    </row>
    <row r="18" spans="1:13">
      <c r="A18" s="177"/>
      <c r="B18" s="180"/>
      <c r="C18" s="178" t="str">
        <f>+'FEB WKSHT'!C18</f>
        <v>REVENUE REFUNDS</v>
      </c>
      <c r="D18" s="178"/>
      <c r="E18" s="180"/>
      <c r="F18" s="177"/>
      <c r="G18" s="177"/>
      <c r="H18" s="177"/>
      <c r="I18" s="177"/>
      <c r="J18" s="177"/>
      <c r="K18" s="177"/>
      <c r="L18" s="177"/>
    </row>
    <row r="19" spans="1:13">
      <c r="A19" s="177"/>
      <c r="B19" s="180"/>
      <c r="C19" s="178"/>
      <c r="D19" s="178" t="str">
        <f>+'FEB WKSHT'!D19</f>
        <v>R284</v>
      </c>
      <c r="E19" s="180"/>
      <c r="F19" s="177"/>
      <c r="G19" s="132"/>
      <c r="H19" s="177"/>
      <c r="I19" s="177"/>
      <c r="J19" s="72">
        <f>+G19+'FEB WKSHT'!J19</f>
        <v>0</v>
      </c>
      <c r="K19" s="177"/>
      <c r="L19" s="177"/>
    </row>
    <row r="20" spans="1:13">
      <c r="A20" s="177"/>
      <c r="B20" s="180"/>
      <c r="C20" s="178"/>
      <c r="D20" s="178" t="str">
        <f>+'FEB WKSHT'!D20</f>
        <v>R285</v>
      </c>
      <c r="E20" s="180"/>
      <c r="F20" s="177"/>
      <c r="G20" s="187">
        <v>-97022.5</v>
      </c>
      <c r="H20" s="177"/>
      <c r="I20" s="177"/>
      <c r="J20" s="177">
        <f>+G20+'FEB WKSHT'!J20</f>
        <v>-149314.57</v>
      </c>
      <c r="K20" s="177"/>
      <c r="L20" s="177"/>
    </row>
    <row r="21" spans="1:13">
      <c r="A21" s="177"/>
      <c r="B21" s="180"/>
      <c r="C21" s="178"/>
      <c r="D21" s="178" t="str">
        <f>+'FEB WKSHT'!D21</f>
        <v>R286</v>
      </c>
      <c r="E21" s="180"/>
      <c r="F21" s="177"/>
      <c r="G21" s="182">
        <v>-27365.32</v>
      </c>
      <c r="H21" s="177">
        <f>SUM(G19:G21)</f>
        <v>-124387.82</v>
      </c>
      <c r="I21" s="177"/>
      <c r="J21" s="183">
        <f>+G21+'FEB WKSHT'!J21</f>
        <v>-42114.35</v>
      </c>
      <c r="K21" s="177">
        <f>SUM(J19:J21)</f>
        <v>-191428.92</v>
      </c>
      <c r="L21" s="177">
        <f>+J52+J53+J77+J78-K21</f>
        <v>124387.82</v>
      </c>
    </row>
    <row r="22" spans="1:13">
      <c r="A22" s="177"/>
      <c r="B22" s="180"/>
      <c r="C22" s="178" t="str">
        <f>+'FEB WKSHT'!C22</f>
        <v>UNHONORED CHECKS</v>
      </c>
      <c r="D22" s="177"/>
      <c r="E22" s="180"/>
      <c r="F22" s="177"/>
      <c r="G22" s="177"/>
      <c r="H22" s="177"/>
      <c r="I22" s="177"/>
      <c r="J22" s="177"/>
      <c r="K22" s="177"/>
      <c r="L22" s="188"/>
      <c r="M22" s="8"/>
    </row>
    <row r="23" spans="1:13">
      <c r="A23" s="177"/>
      <c r="B23" s="180"/>
      <c r="C23" s="177"/>
      <c r="D23" s="178" t="str">
        <f>+'FEB WKSHT'!D23</f>
        <v>R284</v>
      </c>
      <c r="E23" s="180"/>
      <c r="F23" s="177"/>
      <c r="G23" s="132"/>
      <c r="H23" s="177"/>
      <c r="I23" s="177"/>
      <c r="J23" s="72">
        <f>+G23+'FEB WKSHT'!J23</f>
        <v>0</v>
      </c>
      <c r="K23" s="177"/>
      <c r="L23" s="177"/>
    </row>
    <row r="24" spans="1:13">
      <c r="A24" s="177"/>
      <c r="B24" s="180"/>
      <c r="C24" s="177"/>
      <c r="D24" s="178" t="str">
        <f>+'FEB WKSHT'!D24</f>
        <v>R285</v>
      </c>
      <c r="E24" s="180"/>
      <c r="F24" s="177"/>
      <c r="G24" s="187"/>
      <c r="H24" s="177"/>
      <c r="I24" s="177"/>
      <c r="J24" s="177">
        <f>+G24+'FEB WKSHT'!J24</f>
        <v>0</v>
      </c>
      <c r="K24" s="177"/>
      <c r="L24" s="177"/>
    </row>
    <row r="25" spans="1:13">
      <c r="A25" s="177"/>
      <c r="B25" s="180"/>
      <c r="C25" s="177"/>
      <c r="D25" s="178" t="str">
        <f>+'FEB WKSHT'!D25</f>
        <v>R286</v>
      </c>
      <c r="E25" s="180"/>
      <c r="F25" s="177"/>
      <c r="G25" s="182"/>
      <c r="H25" s="177">
        <f>SUM(G23:G25)</f>
        <v>0</v>
      </c>
      <c r="I25" s="177"/>
      <c r="J25" s="183">
        <f>+G25+'FEB WKSHT'!J25</f>
        <v>0</v>
      </c>
      <c r="K25" s="177">
        <f>SUM(J23:J25)</f>
        <v>0</v>
      </c>
      <c r="L25" s="177">
        <f>+J55+J80-K25</f>
        <v>0</v>
      </c>
    </row>
    <row r="26" spans="1:13">
      <c r="A26" s="177"/>
      <c r="B26" s="180"/>
      <c r="C26" s="178" t="str">
        <f>+'FEB WKSHT'!C26</f>
        <v>RECEIPT ADJUSTMENTS</v>
      </c>
      <c r="D26" s="177"/>
      <c r="E26" s="180"/>
      <c r="F26" s="177"/>
      <c r="G26" s="177"/>
      <c r="H26" s="177"/>
      <c r="I26" s="177"/>
      <c r="J26" s="177"/>
      <c r="K26" s="177"/>
      <c r="L26" s="177"/>
    </row>
    <row r="27" spans="1:13">
      <c r="A27" s="177"/>
      <c r="B27" s="180"/>
      <c r="C27" s="177"/>
      <c r="D27" s="178" t="str">
        <f>+'FEB WKSHT'!D27</f>
        <v>R284</v>
      </c>
      <c r="E27" s="180"/>
      <c r="F27" s="177"/>
      <c r="G27" s="132">
        <v>-34395.86</v>
      </c>
      <c r="H27" s="177"/>
      <c r="I27" s="177"/>
      <c r="J27" s="72">
        <f>+G27+'FEB WKSHT'!J27</f>
        <v>-787106.99</v>
      </c>
      <c r="K27" s="177"/>
      <c r="L27" s="177"/>
    </row>
    <row r="28" spans="1:13">
      <c r="A28" s="177"/>
      <c r="B28" s="180"/>
      <c r="C28" s="177"/>
      <c r="D28" s="178" t="str">
        <f>+'FEB WKSHT'!D28</f>
        <v>R285</v>
      </c>
      <c r="E28" s="180"/>
      <c r="F28" s="177"/>
      <c r="G28" s="187">
        <v>66141.02</v>
      </c>
      <c r="H28" s="177"/>
      <c r="I28" s="177"/>
      <c r="J28" s="177">
        <f>+G28+'FEB WKSHT'!J28</f>
        <v>642183.63</v>
      </c>
      <c r="K28" s="177"/>
      <c r="L28" s="177"/>
    </row>
    <row r="29" spans="1:13" ht="16.5" customHeight="1">
      <c r="A29" s="177"/>
      <c r="B29" s="180"/>
      <c r="C29" s="177"/>
      <c r="D29" s="178" t="str">
        <f>+'FEB WKSHT'!D29</f>
        <v>R286</v>
      </c>
      <c r="E29" s="180"/>
      <c r="F29" s="177"/>
      <c r="G29" s="182">
        <v>18655.150000000001</v>
      </c>
      <c r="H29" s="183">
        <f>SUM(G27:G29)</f>
        <v>50400.310000000005</v>
      </c>
      <c r="I29" s="177"/>
      <c r="J29" s="183">
        <f>+G29+'FEB WKSHT'!J29</f>
        <v>181128.69999999998</v>
      </c>
      <c r="K29" s="183">
        <f>SUM(J27:J29)</f>
        <v>36205.339999999997</v>
      </c>
      <c r="L29" s="172">
        <f>+J56+J81-K29</f>
        <v>8.7311491370201111E-11</v>
      </c>
      <c r="M29" s="231"/>
    </row>
    <row r="30" spans="1:13" ht="13.5" thickBot="1">
      <c r="A30" s="177"/>
      <c r="B30" s="180"/>
      <c r="C30" s="177"/>
      <c r="D30" s="178" t="str">
        <f>+'FEB WKSHT'!D30</f>
        <v>NET RECEIPTS TO BE DISTRIBUTED</v>
      </c>
      <c r="E30" s="180"/>
      <c r="F30" s="177"/>
      <c r="G30" s="177"/>
      <c r="H30" s="189">
        <f>SUM(H15:H29)</f>
        <v>13310970.380000001</v>
      </c>
      <c r="I30" s="184"/>
      <c r="J30" s="177"/>
      <c r="K30" s="189">
        <f>SUM(K15:K29)</f>
        <v>125362235.51000001</v>
      </c>
      <c r="L30" s="188"/>
      <c r="M30" s="8"/>
    </row>
    <row r="31" spans="1:13">
      <c r="A31" s="177"/>
      <c r="B31" s="177"/>
      <c r="C31" s="177"/>
      <c r="D31" s="177"/>
      <c r="E31" s="177"/>
      <c r="F31" s="177"/>
      <c r="G31" s="177"/>
      <c r="H31" s="177"/>
      <c r="I31" s="177"/>
      <c r="J31" s="177"/>
      <c r="K31" s="177"/>
      <c r="L31" s="177"/>
    </row>
    <row r="32" spans="1:13">
      <c r="A32" s="177"/>
      <c r="B32" s="178" t="str">
        <f>+'FEB WKSHT'!B32</f>
        <v>TOTAL</v>
      </c>
      <c r="C32" s="172"/>
      <c r="D32" s="190"/>
      <c r="E32" s="172"/>
      <c r="F32" s="172"/>
      <c r="G32" s="172"/>
      <c r="H32" s="172"/>
      <c r="I32" s="177"/>
      <c r="J32" s="177"/>
      <c r="K32" s="177"/>
      <c r="L32" s="177"/>
    </row>
    <row r="33" spans="1:12">
      <c r="A33" s="177"/>
      <c r="B33" s="177"/>
      <c r="C33" s="179" t="str">
        <f>+'FEB WKSHT'!C33</f>
        <v>R284</v>
      </c>
      <c r="D33" s="190"/>
      <c r="E33" s="172"/>
      <c r="F33" s="172"/>
      <c r="G33" s="123">
        <f>+G27+G23+G19+H11</f>
        <v>2206014.3800000004</v>
      </c>
      <c r="H33" s="172"/>
      <c r="I33" s="177"/>
      <c r="J33" s="72">
        <f>+J27+J23+J19+K11</f>
        <v>18919337.66</v>
      </c>
      <c r="K33" s="177"/>
      <c r="L33" s="177"/>
    </row>
    <row r="34" spans="1:12">
      <c r="A34" s="177"/>
      <c r="B34" s="177"/>
      <c r="C34" s="179" t="str">
        <f>+'FEB WKSHT'!C34</f>
        <v>R285</v>
      </c>
      <c r="D34" s="190"/>
      <c r="E34" s="172"/>
      <c r="F34" s="172"/>
      <c r="G34" s="172">
        <f>+G28+G24+G20+G13</f>
        <v>8661865.6699999999</v>
      </c>
      <c r="H34" s="172"/>
      <c r="I34" s="177"/>
      <c r="J34" s="177">
        <f>+J28+J24+J20+J13</f>
        <v>83025460.170000002</v>
      </c>
      <c r="K34" s="177"/>
      <c r="L34" s="177"/>
    </row>
    <row r="35" spans="1:12">
      <c r="A35" s="177"/>
      <c r="B35" s="177"/>
      <c r="C35" s="179" t="str">
        <f>+'FEB WKSHT'!C35</f>
        <v>R286</v>
      </c>
      <c r="D35" s="190"/>
      <c r="E35" s="172"/>
      <c r="F35" s="172"/>
      <c r="G35" s="191">
        <f>+G29+G25+G21+G14</f>
        <v>2443090.33</v>
      </c>
      <c r="H35" s="123">
        <f>SUM(G33:G35)</f>
        <v>13310970.380000001</v>
      </c>
      <c r="I35" s="177"/>
      <c r="J35" s="183">
        <f>+J29+J25+J21+J14</f>
        <v>23417437.680000003</v>
      </c>
      <c r="K35" s="72">
        <f>SUM(J33:J35)</f>
        <v>125362235.51000001</v>
      </c>
      <c r="L35" s="177"/>
    </row>
    <row r="36" spans="1:12">
      <c r="A36" s="177"/>
      <c r="B36" s="177"/>
      <c r="C36" s="172"/>
      <c r="D36" s="172"/>
      <c r="E36" s="172"/>
      <c r="F36" s="172"/>
      <c r="G36" s="172"/>
      <c r="H36" s="172"/>
      <c r="I36" s="177"/>
      <c r="J36" s="177"/>
      <c r="K36" s="177"/>
      <c r="L36" s="177"/>
    </row>
    <row r="37" spans="1:12" ht="13.5" customHeight="1">
      <c r="A37" s="177"/>
      <c r="B37" s="177"/>
      <c r="C37" s="259" t="s">
        <v>60</v>
      </c>
      <c r="D37" s="212"/>
      <c r="E37" s="212"/>
      <c r="F37" s="212"/>
      <c r="G37" s="223" t="s">
        <v>112</v>
      </c>
      <c r="H37" s="373">
        <v>2400001576</v>
      </c>
      <c r="I37" s="172"/>
      <c r="J37" s="245"/>
      <c r="K37" s="245"/>
      <c r="L37" s="245"/>
    </row>
    <row r="38" spans="1:12">
      <c r="A38" s="177"/>
      <c r="B38" s="177"/>
      <c r="C38" s="212"/>
      <c r="D38" s="227"/>
      <c r="E38" s="212" t="s">
        <v>59</v>
      </c>
      <c r="F38" s="212"/>
      <c r="G38" s="212"/>
      <c r="H38" s="165">
        <f>SUM(G40:G41)</f>
        <v>124387.82</v>
      </c>
      <c r="I38" s="177"/>
      <c r="J38" s="245"/>
      <c r="K38" s="245"/>
      <c r="L38" s="245"/>
    </row>
    <row r="39" spans="1:12" ht="12.75" customHeight="1">
      <c r="A39" s="177"/>
      <c r="B39" s="177"/>
      <c r="C39" s="212"/>
      <c r="D39" s="212"/>
      <c r="E39" s="227" t="s">
        <v>66</v>
      </c>
      <c r="F39" s="212"/>
      <c r="G39" s="165"/>
      <c r="H39" s="212"/>
      <c r="I39" s="177"/>
      <c r="J39" s="206"/>
      <c r="K39" s="206"/>
      <c r="L39" s="206"/>
    </row>
    <row r="40" spans="1:12">
      <c r="A40" s="177"/>
      <c r="B40" s="177"/>
      <c r="C40" s="212"/>
      <c r="D40" s="212"/>
      <c r="E40" s="227" t="s">
        <v>65</v>
      </c>
      <c r="F40" s="227"/>
      <c r="G40" s="165">
        <v>97022.5</v>
      </c>
      <c r="H40" s="212"/>
      <c r="I40" s="177"/>
      <c r="J40" s="177"/>
      <c r="K40" s="177"/>
      <c r="L40" s="177"/>
    </row>
    <row r="41" spans="1:12" ht="12.75" customHeight="1">
      <c r="A41" s="177"/>
      <c r="B41" s="177"/>
      <c r="C41" s="212"/>
      <c r="D41" s="212"/>
      <c r="E41" s="227" t="s">
        <v>66</v>
      </c>
      <c r="F41" s="212"/>
      <c r="G41" s="212">
        <v>27365.32</v>
      </c>
      <c r="H41" s="212"/>
      <c r="I41" s="177"/>
      <c r="J41" s="206"/>
      <c r="K41" s="206"/>
      <c r="L41" s="206"/>
    </row>
    <row r="42" spans="1:12" ht="12.75" customHeight="1">
      <c r="A42" s="177"/>
      <c r="B42" s="177"/>
      <c r="C42" s="259" t="s">
        <v>72</v>
      </c>
      <c r="D42" s="212"/>
      <c r="E42" s="227"/>
      <c r="F42" s="274"/>
      <c r="G42" s="283"/>
      <c r="H42" s="284"/>
      <c r="I42" s="177"/>
      <c r="J42" s="206"/>
      <c r="K42" s="206"/>
      <c r="L42" s="206"/>
    </row>
    <row r="43" spans="1:12" ht="12.75" customHeight="1">
      <c r="A43" s="177"/>
      <c r="B43" s="177"/>
      <c r="C43" s="212"/>
      <c r="D43" s="212"/>
      <c r="E43" s="227"/>
      <c r="F43" s="212"/>
      <c r="G43" s="283"/>
      <c r="H43" s="284"/>
      <c r="I43" s="177"/>
      <c r="J43" s="206"/>
      <c r="K43" s="206"/>
      <c r="L43" s="206"/>
    </row>
    <row r="44" spans="1:12">
      <c r="A44" s="177"/>
      <c r="B44" s="177"/>
      <c r="C44" s="212"/>
      <c r="D44" s="212"/>
      <c r="E44" s="227"/>
      <c r="F44" s="212"/>
      <c r="H44" s="284"/>
      <c r="I44" s="177"/>
      <c r="J44" s="206"/>
      <c r="K44" s="206"/>
      <c r="L44" s="206"/>
    </row>
    <row r="45" spans="1:12">
      <c r="A45" s="176" t="str">
        <f>+'FEB WKSHT'!A45</f>
        <v>LAW ENFORCEMENT FOUNDATION FUND (13DB-525-0000)</v>
      </c>
      <c r="B45" s="177"/>
      <c r="C45" s="177"/>
      <c r="D45" s="177"/>
      <c r="E45" s="177"/>
      <c r="F45" s="177"/>
      <c r="G45" s="177"/>
      <c r="H45" s="177"/>
      <c r="I45" s="177"/>
      <c r="J45" s="177"/>
      <c r="K45" s="177"/>
      <c r="L45" s="177"/>
    </row>
    <row r="46" spans="1:12">
      <c r="A46" s="176"/>
      <c r="B46" s="178" t="str">
        <f>+'FEB WKSHT'!B46</f>
        <v>BALANCE FORWARDED FROM FISCAL YEAR 2023</v>
      </c>
      <c r="C46" s="177"/>
      <c r="D46" s="177"/>
      <c r="E46" s="177"/>
      <c r="F46" s="177"/>
      <c r="G46" s="177"/>
      <c r="H46" s="177"/>
      <c r="I46" s="177"/>
      <c r="J46" s="177"/>
      <c r="K46" s="72">
        <f>+'FEB WKSHT'!K46</f>
        <v>73871638.640000001</v>
      </c>
      <c r="L46" s="177"/>
    </row>
    <row r="47" spans="1:12">
      <c r="A47" s="176"/>
      <c r="B47" s="177"/>
      <c r="C47" s="177"/>
      <c r="D47" s="177"/>
      <c r="E47" s="177"/>
      <c r="F47" s="177"/>
      <c r="G47" s="177"/>
      <c r="H47" s="177"/>
      <c r="I47" s="177"/>
      <c r="J47" s="177"/>
      <c r="K47" s="177"/>
      <c r="L47" s="177"/>
    </row>
    <row r="48" spans="1:12">
      <c r="A48" s="177"/>
      <c r="B48" s="199" t="str">
        <f>+'FEB WKSHT'!B66</f>
        <v>CASH BALANCE FEBRUARY 28, 2024</v>
      </c>
      <c r="C48" s="177"/>
      <c r="D48" s="177"/>
      <c r="E48" s="177"/>
      <c r="F48" s="177"/>
      <c r="G48" s="177"/>
      <c r="H48" s="123">
        <f>+'FEB WKSHT'!H66</f>
        <v>95580265.49000001</v>
      </c>
      <c r="I48" s="72"/>
      <c r="J48" s="177"/>
      <c r="K48" s="177"/>
      <c r="L48" s="177"/>
    </row>
    <row r="49" spans="1:14">
      <c r="A49" s="177"/>
      <c r="B49" s="178"/>
      <c r="C49" s="177"/>
      <c r="D49" s="177"/>
      <c r="E49" s="177"/>
      <c r="F49" s="177"/>
      <c r="G49" s="177"/>
      <c r="H49" s="72"/>
      <c r="I49" s="72"/>
      <c r="J49" s="177"/>
      <c r="K49" s="177"/>
      <c r="L49" s="177"/>
    </row>
    <row r="50" spans="1:14">
      <c r="A50" s="177"/>
      <c r="B50" s="178" t="str">
        <f>+'FEB WKSHT'!B50</f>
        <v>REVENUE DISTRIBUTION INCOME (REVENUE DETAIL WORKSHEET):</v>
      </c>
      <c r="C50" s="177"/>
      <c r="D50" s="177"/>
      <c r="E50" s="177"/>
      <c r="F50" s="177"/>
      <c r="G50" s="177"/>
      <c r="H50" s="200" t="s">
        <v>63</v>
      </c>
      <c r="I50" s="177"/>
      <c r="J50" s="177"/>
      <c r="K50" s="200" t="s">
        <v>63</v>
      </c>
      <c r="L50" s="243"/>
    </row>
    <row r="51" spans="1:14">
      <c r="A51" s="177"/>
      <c r="B51" s="177"/>
      <c r="C51" s="178" t="str">
        <f>+'FEB WKSHT'!C51</f>
        <v>REVENUE DISTRIBUTION (N114)</v>
      </c>
      <c r="D51" s="177"/>
      <c r="E51" s="177"/>
      <c r="F51" s="177"/>
      <c r="G51" s="132">
        <v>8692747.1500000004</v>
      </c>
      <c r="H51" s="201">
        <f>+H14*0.78</f>
        <v>8692747.1670000013</v>
      </c>
      <c r="I51" s="177"/>
      <c r="J51" s="72">
        <f>+G51+'FEB WKSHT'!J51</f>
        <v>82532591.109999999</v>
      </c>
      <c r="K51" s="201">
        <f>+K14*0.78</f>
        <v>82532591.2632</v>
      </c>
      <c r="L51" s="195"/>
    </row>
    <row r="52" spans="1:14">
      <c r="A52" s="177"/>
      <c r="B52" s="177"/>
      <c r="C52" s="178" t="str">
        <f>+'FEB WKSHT'!C52</f>
        <v>REVENUE REFUNDS:  PRIOR YEAR</v>
      </c>
      <c r="D52" s="177"/>
      <c r="E52" s="177"/>
      <c r="F52" s="177"/>
      <c r="G52" s="187"/>
      <c r="H52" s="177"/>
      <c r="I52" s="177"/>
      <c r="J52" s="177">
        <f>+G52+'FEB WKSHT'!J52</f>
        <v>0</v>
      </c>
      <c r="K52" s="177"/>
      <c r="L52" s="192"/>
    </row>
    <row r="53" spans="1:14">
      <c r="A53" s="177"/>
      <c r="B53" s="177"/>
      <c r="C53" s="178" t="str">
        <f>+'FEB WKSHT'!C53</f>
        <v>REVENUE REFUNDS:  CURRENT YEAR</v>
      </c>
      <c r="D53" s="177"/>
      <c r="E53" s="177"/>
      <c r="F53" s="177"/>
      <c r="G53" s="187">
        <v>-3350.62</v>
      </c>
      <c r="H53" s="177"/>
      <c r="I53" s="177"/>
      <c r="J53" s="177">
        <f>+G53+'FEB WKSHT'!J53</f>
        <v>-52292.07</v>
      </c>
      <c r="K53" s="177"/>
      <c r="L53" s="192"/>
    </row>
    <row r="54" spans="1:14">
      <c r="A54" s="177"/>
      <c r="B54" s="177"/>
      <c r="C54" s="178" t="str">
        <f>+'FEB WKSHT'!C54</f>
        <v>REFUND OF PRIOR YEAR DISBURSEMENTS (R881)</v>
      </c>
      <c r="D54" s="177"/>
      <c r="E54" s="177"/>
      <c r="F54" s="177"/>
      <c r="G54" s="187"/>
      <c r="H54" s="177"/>
      <c r="I54" s="177"/>
      <c r="J54" s="177">
        <f>+G54+'FEB WKSHT'!J54</f>
        <v>0</v>
      </c>
      <c r="K54" s="177"/>
      <c r="L54" s="177"/>
    </row>
    <row r="55" spans="1:14">
      <c r="A55" s="177"/>
      <c r="B55" s="177"/>
      <c r="C55" s="178" t="str">
        <f>+'FEB WKSHT'!C55</f>
        <v>UNHONORED CHECKS</v>
      </c>
      <c r="D55" s="177"/>
      <c r="E55" s="177"/>
      <c r="F55" s="177"/>
      <c r="G55" s="187"/>
      <c r="H55" s="177"/>
      <c r="I55" s="177"/>
      <c r="J55" s="177">
        <f>+G55+'FEB WKSHT'!J55</f>
        <v>0</v>
      </c>
      <c r="K55" s="177"/>
      <c r="L55" s="177"/>
      <c r="M55" s="63"/>
      <c r="N55" s="16"/>
    </row>
    <row r="56" spans="1:14">
      <c r="A56" s="177"/>
      <c r="B56" s="177"/>
      <c r="C56" s="178" t="str">
        <f>+'FEB WKSHT'!C56</f>
        <v>RECEIPT ADJUSTMENTS</v>
      </c>
      <c r="D56" s="177"/>
      <c r="E56" s="177"/>
      <c r="F56" s="177"/>
      <c r="G56" s="211">
        <v>66141.02</v>
      </c>
      <c r="H56" s="177">
        <f>SUM(G51:G56)</f>
        <v>8755537.5500000007</v>
      </c>
      <c r="I56" s="177"/>
      <c r="J56" s="183">
        <f>+G56+'FEB WKSHT'!J56</f>
        <v>642183.63</v>
      </c>
      <c r="K56" s="177">
        <f>SUM(J51:J56)</f>
        <v>83122482.670000002</v>
      </c>
      <c r="L56" s="177"/>
      <c r="N56" s="16"/>
    </row>
    <row r="57" spans="1:14">
      <c r="A57" s="177"/>
      <c r="B57" s="177"/>
      <c r="C57" s="177"/>
      <c r="D57" s="177"/>
      <c r="E57" s="177"/>
      <c r="F57" s="177"/>
      <c r="G57" s="177"/>
      <c r="H57" s="177"/>
      <c r="I57" s="177"/>
      <c r="J57" s="177"/>
      <c r="K57" s="177"/>
      <c r="L57" s="177"/>
      <c r="N57" s="16"/>
    </row>
    <row r="58" spans="1:14">
      <c r="A58" s="177"/>
      <c r="B58" s="178" t="str">
        <f>+'FEB WKSHT'!B58</f>
        <v>INVESTMENT INCOME (R771)</v>
      </c>
      <c r="C58" s="180"/>
      <c r="D58" s="177"/>
      <c r="E58" s="177"/>
      <c r="F58" s="177"/>
      <c r="G58" s="177"/>
      <c r="H58" s="187">
        <v>416056.04</v>
      </c>
      <c r="I58" s="177"/>
      <c r="J58" s="177"/>
      <c r="K58" s="177">
        <f>+H58+'FEB WKSHT'!K58</f>
        <v>3176278.3899999997</v>
      </c>
      <c r="L58" s="177"/>
      <c r="M58"/>
      <c r="N58" s="16"/>
    </row>
    <row r="59" spans="1:14">
      <c r="A59" s="177"/>
      <c r="B59" s="177"/>
      <c r="C59" s="177"/>
      <c r="D59" s="177"/>
      <c r="E59" s="177"/>
      <c r="F59" s="177"/>
      <c r="G59" s="177"/>
      <c r="H59" s="177"/>
      <c r="I59" s="177"/>
      <c r="J59" s="177"/>
      <c r="K59" s="177"/>
      <c r="L59" s="193" t="s">
        <v>50</v>
      </c>
      <c r="M59" s="63"/>
      <c r="N59" s="16"/>
    </row>
    <row r="60" spans="1:14">
      <c r="A60" s="177"/>
      <c r="B60" s="178" t="str">
        <f>+'FEB WKSHT'!B60</f>
        <v>OTHER REVENUE</v>
      </c>
      <c r="C60" s="177"/>
      <c r="D60" s="177"/>
      <c r="E60" s="177"/>
      <c r="F60" s="177"/>
      <c r="G60" s="177"/>
      <c r="H60" s="187"/>
      <c r="I60" s="177"/>
      <c r="J60" s="177"/>
      <c r="K60" s="177">
        <f>+H60+'FEB WKSHT'!K60</f>
        <v>6110.11</v>
      </c>
      <c r="L60" s="194">
        <f>2717767.63+'FEB WKSHT'!L60</f>
        <v>24284875.57</v>
      </c>
      <c r="N60" s="16"/>
    </row>
    <row r="61" spans="1:14">
      <c r="A61" s="177"/>
      <c r="B61" s="177"/>
      <c r="C61" s="177"/>
      <c r="D61" s="177"/>
      <c r="E61" s="177"/>
      <c r="F61" s="177"/>
      <c r="G61" s="177"/>
      <c r="H61" s="177"/>
      <c r="I61" s="177"/>
      <c r="J61" s="177"/>
      <c r="K61" s="177"/>
      <c r="L61" s="173" t="s">
        <v>54</v>
      </c>
      <c r="M61" s="63"/>
      <c r="N61" s="16"/>
    </row>
    <row r="62" spans="1:14">
      <c r="A62" s="177"/>
      <c r="B62" s="178" t="str">
        <f>+'FEB WKSHT'!B62</f>
        <v>EXPENDITURES (LAW ENFORCEMENT SUMMARY)</v>
      </c>
      <c r="C62" s="177"/>
      <c r="D62" s="177"/>
      <c r="E62" s="177"/>
      <c r="F62" s="177"/>
      <c r="G62" s="177"/>
      <c r="H62" s="195"/>
      <c r="I62" s="195"/>
      <c r="J62" s="195"/>
      <c r="K62" s="195"/>
      <c r="L62" s="173">
        <f>+K46</f>
        <v>73871638.640000001</v>
      </c>
      <c r="N62" s="16"/>
    </row>
    <row r="63" spans="1:14">
      <c r="A63" s="177"/>
      <c r="B63" s="178"/>
      <c r="C63" s="177" t="str">
        <f>+'AUG WKSHT'!C63</f>
        <v>CASH EXPENDITURES</v>
      </c>
      <c r="D63" s="177"/>
      <c r="E63" s="177"/>
      <c r="F63" s="177"/>
      <c r="G63" s="177"/>
      <c r="H63" s="177"/>
      <c r="I63" s="177"/>
      <c r="J63" s="187">
        <v>62019995.600000001</v>
      </c>
      <c r="K63" s="177"/>
      <c r="L63" s="173" t="s">
        <v>55</v>
      </c>
      <c r="N63" s="16"/>
    </row>
    <row r="64" spans="1:14">
      <c r="A64" s="177"/>
      <c r="B64" s="178"/>
      <c r="C64" s="177" t="str">
        <f>+'AUG WKSHT'!C64</f>
        <v>ACCRUED EXPENDITURES</v>
      </c>
      <c r="D64" s="177"/>
      <c r="E64" s="177"/>
      <c r="F64" s="177"/>
      <c r="G64" s="177"/>
      <c r="H64" s="183">
        <f>+K64-'FEB WKSHT'!K64</f>
        <v>6452889.2399999946</v>
      </c>
      <c r="I64" s="177"/>
      <c r="J64" s="182">
        <v>-142455.63</v>
      </c>
      <c r="K64" s="191">
        <f>SUM(J63:J64)</f>
        <v>61877539.969999999</v>
      </c>
      <c r="L64" s="173">
        <f>+J64</f>
        <v>-142455.63</v>
      </c>
      <c r="N64" s="16"/>
    </row>
    <row r="65" spans="1:14">
      <c r="A65" s="177"/>
      <c r="B65" s="177"/>
      <c r="C65" s="177"/>
      <c r="D65" s="177"/>
      <c r="E65" s="177"/>
      <c r="F65" s="177"/>
      <c r="G65" s="177"/>
      <c r="H65" s="177"/>
      <c r="I65" s="177"/>
      <c r="J65" s="177"/>
      <c r="K65" s="177"/>
      <c r="L65" s="173" t="s">
        <v>53</v>
      </c>
      <c r="M65" s="177" t="s">
        <v>70</v>
      </c>
      <c r="N65" s="16"/>
    </row>
    <row r="66" spans="1:14" ht="13.5" thickBot="1">
      <c r="A66" s="177"/>
      <c r="B66" s="202" t="s">
        <v>111</v>
      </c>
      <c r="C66" s="187"/>
      <c r="D66" s="187"/>
      <c r="E66" s="187"/>
      <c r="F66" s="177"/>
      <c r="G66" s="177"/>
      <c r="H66" s="196">
        <f>+H48+H56+H58+H60-H64</f>
        <v>98298969.840000018</v>
      </c>
      <c r="I66" s="177"/>
      <c r="J66" s="177"/>
      <c r="K66" s="196">
        <f>+K46+K56+K58+K60-K64</f>
        <v>98298969.840000004</v>
      </c>
      <c r="L66" s="197">
        <f>+L60+L62-L64</f>
        <v>98298969.840000004</v>
      </c>
      <c r="M66" s="8">
        <f>L66-K66</f>
        <v>0</v>
      </c>
      <c r="N66" s="16"/>
    </row>
    <row r="67" spans="1:14">
      <c r="A67" s="177"/>
      <c r="B67" s="177"/>
      <c r="C67" s="177"/>
      <c r="D67" s="177"/>
      <c r="E67" s="177"/>
      <c r="F67" s="177"/>
      <c r="G67" s="177"/>
      <c r="H67" s="177"/>
      <c r="I67" s="177"/>
      <c r="J67" s="177"/>
      <c r="K67" s="177"/>
      <c r="L67" s="185"/>
      <c r="M67" s="8"/>
      <c r="N67" s="16"/>
    </row>
    <row r="68" spans="1:14">
      <c r="A68" s="203" t="str">
        <f>+'FEB WKSHT'!A68</f>
        <v>FIREFIGHTERS FOUNDATION FUND (1341-470-UNIT-PK00)</v>
      </c>
      <c r="B68" s="177"/>
      <c r="C68" s="177"/>
      <c r="D68" s="177"/>
      <c r="E68" s="177"/>
      <c r="F68" s="177"/>
      <c r="G68" s="177"/>
      <c r="H68" s="177"/>
      <c r="I68" s="177"/>
      <c r="J68" s="177"/>
      <c r="K68" s="177"/>
      <c r="L68" s="185"/>
      <c r="M68" s="8"/>
      <c r="N68" s="16"/>
    </row>
    <row r="69" spans="1:14">
      <c r="A69" s="178"/>
      <c r="B69" s="177" t="str">
        <f>+B46</f>
        <v>BALANCE FORWARDED FROM FISCAL YEAR 2023</v>
      </c>
      <c r="C69" s="177"/>
      <c r="D69" s="177"/>
      <c r="E69" s="177"/>
      <c r="F69" s="177"/>
      <c r="G69" s="177"/>
      <c r="H69" s="177"/>
      <c r="I69" s="177"/>
      <c r="J69" s="177"/>
      <c r="K69" s="72">
        <f>+'FEB WKSHT'!K69</f>
        <v>38612985.210000001</v>
      </c>
      <c r="L69" s="185"/>
      <c r="M69" s="8"/>
      <c r="N69" s="16"/>
    </row>
    <row r="70" spans="1:14">
      <c r="A70" s="176"/>
      <c r="B70" s="177"/>
      <c r="C70" s="177"/>
      <c r="D70" s="177"/>
      <c r="E70" s="177"/>
      <c r="F70" s="177"/>
      <c r="G70" s="177"/>
      <c r="H70" s="177"/>
      <c r="I70" s="177"/>
      <c r="J70" s="177"/>
      <c r="K70" s="72"/>
      <c r="L70" s="185"/>
      <c r="M70" s="8"/>
      <c r="N70" s="16"/>
    </row>
    <row r="71" spans="1:14">
      <c r="A71" s="177"/>
      <c r="B71" s="178" t="str">
        <f>+B48</f>
        <v>CASH BALANCE FEBRUARY 28, 2024</v>
      </c>
      <c r="C71" s="177"/>
      <c r="D71" s="177"/>
      <c r="E71" s="177"/>
      <c r="F71" s="177"/>
      <c r="G71" s="177"/>
      <c r="H71" s="123">
        <f>+'FEB WKSHT'!H89</f>
        <v>42835377.609999992</v>
      </c>
      <c r="I71" s="72"/>
      <c r="J71" s="177"/>
      <c r="K71" s="177"/>
      <c r="L71" s="177"/>
      <c r="M71" s="8"/>
      <c r="N71" s="16"/>
    </row>
    <row r="72" spans="1:14">
      <c r="A72" s="177"/>
      <c r="B72" s="178"/>
      <c r="C72" s="177"/>
      <c r="D72" s="177"/>
      <c r="E72" s="177"/>
      <c r="F72" s="177"/>
      <c r="G72" s="177"/>
      <c r="H72" s="72"/>
      <c r="I72" s="72"/>
      <c r="J72" s="177"/>
      <c r="K72" s="177"/>
      <c r="L72" s="177"/>
      <c r="M72" s="8"/>
      <c r="N72" s="16"/>
    </row>
    <row r="73" spans="1:14">
      <c r="A73" s="177"/>
      <c r="B73" s="199" t="str">
        <f>+B50</f>
        <v>REVENUE DISTRIBUTION INCOME (REVENUE DETAIL WORKSHEET):</v>
      </c>
      <c r="C73" s="177"/>
      <c r="D73" s="177"/>
      <c r="E73" s="177"/>
      <c r="F73" s="177"/>
      <c r="G73" s="177"/>
      <c r="H73" s="177"/>
      <c r="I73" s="177"/>
      <c r="J73" s="177"/>
      <c r="K73" s="177"/>
      <c r="L73" s="177"/>
      <c r="M73" s="8"/>
      <c r="N73" s="16"/>
    </row>
    <row r="74" spans="1:14">
      <c r="A74" s="177"/>
      <c r="B74" s="177"/>
      <c r="C74" s="178" t="str">
        <f>+C51</f>
        <v>REVENUE DISTRIBUTION (N114)</v>
      </c>
      <c r="D74" s="177"/>
      <c r="E74" s="177"/>
      <c r="F74" s="177"/>
      <c r="G74" s="177"/>
      <c r="H74" s="200" t="s">
        <v>64</v>
      </c>
      <c r="I74" s="177"/>
      <c r="J74" s="177"/>
      <c r="K74" s="200"/>
      <c r="L74" s="177"/>
      <c r="M74" s="8"/>
    </row>
    <row r="75" spans="1:14">
      <c r="A75" s="177"/>
      <c r="B75" s="177"/>
      <c r="C75" s="178"/>
      <c r="D75" s="178" t="str">
        <f>+'FEB WKSHT'!D75</f>
        <v>FIREFIGHTERS FUND</v>
      </c>
      <c r="E75" s="177"/>
      <c r="F75" s="132">
        <v>2451800.5</v>
      </c>
      <c r="G75" s="72"/>
      <c r="H75" s="201">
        <f>+H14*0.22</f>
        <v>2451800.483</v>
      </c>
      <c r="I75" s="177"/>
      <c r="J75" s="72"/>
      <c r="K75" s="201"/>
      <c r="L75" s="169" t="s">
        <v>43</v>
      </c>
      <c r="M75" s="8"/>
    </row>
    <row r="76" spans="1:14">
      <c r="A76" s="177"/>
      <c r="B76" s="177"/>
      <c r="C76" s="178"/>
      <c r="D76" s="178" t="str">
        <f>+'FEB WKSHT'!D76</f>
        <v>VOLUNTEER FIRE DEPT AID</v>
      </c>
      <c r="E76" s="177"/>
      <c r="F76" s="182">
        <v>2240410.2400000002</v>
      </c>
      <c r="G76" s="72">
        <f>SUM(F75:F76)</f>
        <v>4692210.74</v>
      </c>
      <c r="H76" s="177"/>
      <c r="I76" s="177"/>
      <c r="J76" s="72">
        <f>+G76+'FEB WKSHT'!J76</f>
        <v>42984867.980000004</v>
      </c>
      <c r="K76" s="177"/>
      <c r="L76" s="173">
        <f>+K11+J14</f>
        <v>42984867.980000004</v>
      </c>
      <c r="M76" s="8"/>
    </row>
    <row r="77" spans="1:14">
      <c r="A77" s="177"/>
      <c r="B77" s="177"/>
      <c r="C77" s="178" t="str">
        <f>+C52</f>
        <v>REVENUE REFUNDS:  PRIOR YEAR</v>
      </c>
      <c r="D77" s="177"/>
      <c r="E77" s="177"/>
      <c r="F77" s="177"/>
      <c r="G77" s="187"/>
      <c r="H77" s="177"/>
      <c r="I77" s="177"/>
      <c r="J77" s="177">
        <f>+G77+'FEB WKSHT'!J77</f>
        <v>0</v>
      </c>
      <c r="K77" s="177"/>
      <c r="L77" s="198" t="s">
        <v>44</v>
      </c>
      <c r="M77" s="8"/>
    </row>
    <row r="78" spans="1:14">
      <c r="A78" s="177"/>
      <c r="B78" s="177"/>
      <c r="C78" s="177" t="str">
        <f>+C53</f>
        <v>REVENUE REFUNDS:  CURRENT YEAR</v>
      </c>
      <c r="D78" s="177"/>
      <c r="E78" s="177"/>
      <c r="F78" s="177"/>
      <c r="G78" s="187">
        <v>-945.04</v>
      </c>
      <c r="H78" s="177"/>
      <c r="I78" s="177"/>
      <c r="J78" s="177">
        <f>+G78+'FEB WKSHT'!J78</f>
        <v>-14749.029999999999</v>
      </c>
      <c r="K78" s="177"/>
      <c r="L78" s="236">
        <f>+J76-L76</f>
        <v>0</v>
      </c>
      <c r="M78" s="8"/>
    </row>
    <row r="79" spans="1:14">
      <c r="A79" s="177"/>
      <c r="B79" s="177"/>
      <c r="C79" s="178" t="str">
        <f>+C54</f>
        <v>REFUND OF PRIOR YEAR DISBURSEMENTS (R881)</v>
      </c>
      <c r="D79" s="177"/>
      <c r="E79" s="177"/>
      <c r="F79" s="177"/>
      <c r="G79" s="187"/>
      <c r="H79" s="177"/>
      <c r="I79" s="177"/>
      <c r="J79" s="177">
        <f>+G79+'FEB WKSHT'!J79</f>
        <v>0</v>
      </c>
      <c r="K79" s="177"/>
      <c r="L79" s="177"/>
      <c r="M79" s="8"/>
    </row>
    <row r="80" spans="1:14">
      <c r="A80" s="177"/>
      <c r="B80" s="177"/>
      <c r="C80" s="177" t="str">
        <f>+C55</f>
        <v>UNHONORED CHECKS</v>
      </c>
      <c r="D80" s="177"/>
      <c r="E80" s="177"/>
      <c r="F80" s="177"/>
      <c r="G80" s="187"/>
      <c r="H80" s="177"/>
      <c r="I80" s="177"/>
      <c r="J80" s="177">
        <f>+G80+'FEB WKSHT'!J80</f>
        <v>0</v>
      </c>
      <c r="K80" s="177"/>
      <c r="L80" s="177"/>
      <c r="M80" s="8"/>
    </row>
    <row r="81" spans="1:14">
      <c r="A81" s="177"/>
      <c r="B81" s="177"/>
      <c r="C81" s="177" t="str">
        <f>+C56</f>
        <v>RECEIPT ADJUSTMENTS</v>
      </c>
      <c r="D81" s="177"/>
      <c r="E81" s="177"/>
      <c r="F81" s="177"/>
      <c r="G81" s="211">
        <v>-15740.71</v>
      </c>
      <c r="H81" s="177">
        <f>SUM(G75:G81)</f>
        <v>4675524.99</v>
      </c>
      <c r="I81" s="177"/>
      <c r="J81" s="183">
        <f>+G81+'FEB WKSHT'!J81</f>
        <v>-605978.28999999992</v>
      </c>
      <c r="K81" s="177">
        <f>SUM(J76:J81)</f>
        <v>42364140.660000004</v>
      </c>
      <c r="L81" s="177"/>
      <c r="M81" s="8"/>
    </row>
    <row r="82" spans="1:14">
      <c r="A82" s="177"/>
      <c r="B82" s="177"/>
      <c r="C82" s="177"/>
      <c r="D82" s="177"/>
      <c r="E82" s="177"/>
      <c r="F82" s="177"/>
      <c r="G82" s="177"/>
      <c r="H82" s="177"/>
      <c r="I82" s="177"/>
      <c r="J82" s="177"/>
      <c r="K82" s="177"/>
      <c r="L82" s="177"/>
      <c r="M82" s="8"/>
    </row>
    <row r="83" spans="1:14">
      <c r="A83" s="177"/>
      <c r="B83" s="178" t="str">
        <f>+B58</f>
        <v>INVESTMENT INCOME (R771)</v>
      </c>
      <c r="C83" s="180"/>
      <c r="D83" s="177"/>
      <c r="E83" s="177"/>
      <c r="F83" s="177"/>
      <c r="G83" s="177" t="s">
        <v>32</v>
      </c>
      <c r="H83" s="187">
        <v>162686.96</v>
      </c>
      <c r="I83" s="177"/>
      <c r="J83" s="177"/>
      <c r="K83" s="177">
        <f>+H83+'FEB WKSHT'!K83</f>
        <v>1497269.3800000001</v>
      </c>
      <c r="L83" s="177"/>
      <c r="M83" s="8"/>
    </row>
    <row r="84" spans="1:14">
      <c r="A84" s="177"/>
      <c r="B84" s="177"/>
      <c r="C84" s="177"/>
      <c r="D84" s="177"/>
      <c r="E84" s="177"/>
      <c r="F84" s="177"/>
      <c r="G84" s="177"/>
      <c r="H84" s="177"/>
      <c r="I84" s="177"/>
      <c r="J84" s="177"/>
      <c r="K84" s="177"/>
      <c r="L84" s="193" t="s">
        <v>50</v>
      </c>
      <c r="M84" s="8"/>
    </row>
    <row r="85" spans="1:14">
      <c r="A85" s="177"/>
      <c r="B85" s="178" t="str">
        <f>+B60</f>
        <v>OTHER REVENUE</v>
      </c>
      <c r="C85" s="180"/>
      <c r="D85" s="177"/>
      <c r="E85" s="177"/>
      <c r="F85" s="177"/>
      <c r="G85" s="177"/>
      <c r="H85" s="187"/>
      <c r="I85" s="177"/>
      <c r="J85" s="177"/>
      <c r="K85" s="177">
        <f>+H85+'FEB WKSHT'!K85</f>
        <v>0</v>
      </c>
      <c r="L85" s="246">
        <f>1776263.25+'FEB WKSHT'!L85</f>
        <v>5998655.6500000004</v>
      </c>
      <c r="M85" s="8"/>
    </row>
    <row r="86" spans="1:14">
      <c r="A86" s="177"/>
      <c r="B86" s="177"/>
      <c r="C86" s="177"/>
      <c r="D86" s="177"/>
      <c r="E86" s="177"/>
      <c r="F86" s="177"/>
      <c r="G86" s="177"/>
      <c r="H86" s="177"/>
      <c r="I86" s="177"/>
      <c r="J86" s="177"/>
      <c r="K86" s="177"/>
      <c r="L86" s="173" t="s">
        <v>54</v>
      </c>
      <c r="M86" s="8"/>
    </row>
    <row r="87" spans="1:14">
      <c r="A87" s="177"/>
      <c r="B87" s="178" t="str">
        <f>+'FEB WKSHT'!B87</f>
        <v>EXPENDITURES (FIREFIGHTERS SUMMARY)</v>
      </c>
      <c r="C87" s="177"/>
      <c r="D87" s="177"/>
      <c r="E87" s="177"/>
      <c r="F87" s="177"/>
      <c r="G87" s="177" t="s">
        <v>32</v>
      </c>
      <c r="H87" s="183">
        <f>+K87-'FEB WKSHT'!K87</f>
        <v>3061948.700000003</v>
      </c>
      <c r="I87" s="177"/>
      <c r="J87" s="177"/>
      <c r="K87" s="182">
        <v>37862754.390000001</v>
      </c>
      <c r="L87" s="173">
        <f>+K69</f>
        <v>38612985.210000001</v>
      </c>
      <c r="M87" s="8"/>
    </row>
    <row r="88" spans="1:14">
      <c r="A88" s="177"/>
      <c r="B88" s="177"/>
      <c r="C88" s="177"/>
      <c r="D88" s="177"/>
      <c r="E88" s="177"/>
      <c r="F88" s="177"/>
      <c r="G88" s="177"/>
      <c r="H88" s="177"/>
      <c r="I88" s="177"/>
      <c r="J88" s="177"/>
      <c r="K88" s="177"/>
      <c r="L88" s="173" t="s">
        <v>53</v>
      </c>
      <c r="M88" s="177" t="s">
        <v>70</v>
      </c>
    </row>
    <row r="89" spans="1:14" ht="13.5" thickBot="1">
      <c r="A89" s="177"/>
      <c r="B89" s="177" t="str">
        <f>+B66</f>
        <v>CASH BALANCE MARCH 31, 2024</v>
      </c>
      <c r="C89" s="177"/>
      <c r="D89" s="177"/>
      <c r="E89" s="177"/>
      <c r="F89" s="177"/>
      <c r="G89" s="177"/>
      <c r="H89" s="196">
        <f>+H71+H81+H83+H85-H87</f>
        <v>44611640.859999992</v>
      </c>
      <c r="I89" s="177"/>
      <c r="J89" s="177"/>
      <c r="K89" s="196">
        <f>+K69+K81+K83+K85-K87</f>
        <v>44611640.859999999</v>
      </c>
      <c r="L89" s="197">
        <f>+L85+L87</f>
        <v>44611640.859999999</v>
      </c>
      <c r="M89" s="8">
        <f>L89-K89</f>
        <v>0</v>
      </c>
    </row>
    <row r="90" spans="1:14" ht="15.75">
      <c r="A90" s="261"/>
      <c r="B90" s="177"/>
      <c r="C90" s="177"/>
      <c r="D90" s="100"/>
      <c r="E90" s="172"/>
      <c r="F90" s="172"/>
      <c r="G90" s="172"/>
      <c r="H90" s="172"/>
      <c r="I90" s="172"/>
      <c r="J90" s="172"/>
      <c r="K90" s="172"/>
      <c r="L90" s="172"/>
      <c r="M90" s="69"/>
      <c r="N90" s="69"/>
    </row>
    <row r="91" spans="1:14" ht="15.75">
      <c r="A91" s="261" t="s">
        <v>69</v>
      </c>
      <c r="B91" s="177"/>
      <c r="C91" s="177"/>
      <c r="D91" s="177"/>
      <c r="E91" s="177"/>
      <c r="F91" s="177"/>
      <c r="G91" s="177"/>
      <c r="H91" s="177"/>
      <c r="I91" s="177"/>
      <c r="J91" s="177"/>
      <c r="K91" s="177"/>
      <c r="L91" s="177"/>
      <c r="M91" s="177"/>
      <c r="N91" s="69"/>
    </row>
    <row r="92" spans="1:14">
      <c r="D92" s="100"/>
      <c r="E92" s="100"/>
      <c r="F92" s="69"/>
      <c r="G92" s="69"/>
      <c r="H92" s="69"/>
      <c r="I92" s="69"/>
      <c r="J92" s="69"/>
      <c r="K92" s="69"/>
      <c r="L92" s="69"/>
      <c r="M92" s="69"/>
      <c r="N92" s="69"/>
    </row>
  </sheetData>
  <phoneticPr fontId="12" type="noConversion"/>
  <printOptions horizontalCentered="1" verticalCentered="1"/>
  <pageMargins left="0.25" right="0.25" top="0.75" bottom="0.75" header="0.3" footer="0"/>
  <pageSetup scale="58" orientation="portrait" r:id="rId1"/>
  <headerFooter alignWithMargins="0">
    <oddHeader>&amp;R&amp;F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topLeftCell="A26" zoomScale="80" zoomScaleNormal="80" workbookViewId="0">
      <selection activeCell="K46" sqref="K46"/>
    </sheetView>
  </sheetViews>
  <sheetFormatPr defaultColWidth="9.140625" defaultRowHeight="12.75"/>
  <cols>
    <col min="1" max="4" width="3.7109375" style="6" customWidth="1"/>
    <col min="5" max="5" width="29.7109375" style="6" customWidth="1"/>
    <col min="6" max="6" width="15" style="2" customWidth="1"/>
    <col min="7" max="7" width="14.7109375" style="2" customWidth="1"/>
    <col min="8" max="8" width="15.7109375" style="2" bestFit="1" customWidth="1"/>
    <col min="9" max="9" width="1.7109375" style="2" customWidth="1"/>
    <col min="10" max="10" width="14.7109375" style="2" customWidth="1"/>
    <col min="11" max="11" width="17.140625" style="2" bestFit="1" customWidth="1"/>
    <col min="12" max="12" width="21.140625" style="2" bestFit="1" customWidth="1"/>
    <col min="13" max="13" width="19.42578125" style="2" customWidth="1"/>
    <col min="14" max="14" width="12.85546875" style="2" bestFit="1" customWidth="1"/>
    <col min="15" max="15" width="9.140625" style="2"/>
    <col min="16" max="16" width="15" style="2" customWidth="1"/>
    <col min="17" max="17" width="15.7109375" style="2" customWidth="1"/>
    <col min="18" max="18" width="21.7109375" style="2" customWidth="1"/>
    <col min="19" max="16384" width="9.140625" style="2"/>
  </cols>
  <sheetData>
    <row r="1" spans="1:12" ht="15">
      <c r="A1" s="58" t="s">
        <v>0</v>
      </c>
      <c r="B1" s="3"/>
      <c r="C1" s="3"/>
      <c r="D1" s="3"/>
      <c r="E1" s="3"/>
      <c r="F1" s="3"/>
      <c r="G1" s="3"/>
      <c r="H1" s="3"/>
      <c r="I1" s="3"/>
      <c r="J1" s="3"/>
      <c r="K1" s="3"/>
    </row>
    <row r="2" spans="1:12" ht="15">
      <c r="A2" s="59" t="s">
        <v>1</v>
      </c>
      <c r="B2" s="3"/>
      <c r="C2" s="3"/>
      <c r="D2" s="3"/>
      <c r="E2" s="3"/>
      <c r="F2" s="3"/>
      <c r="G2" s="3"/>
      <c r="H2" s="3"/>
      <c r="I2" s="3"/>
      <c r="J2" s="3"/>
      <c r="K2" s="3"/>
    </row>
    <row r="3" spans="1:12" ht="15">
      <c r="A3" s="58" t="s">
        <v>2</v>
      </c>
      <c r="B3" s="3"/>
      <c r="C3" s="3"/>
      <c r="D3" s="3"/>
      <c r="E3" s="3"/>
      <c r="F3" s="3"/>
      <c r="G3" s="3"/>
      <c r="H3" s="3"/>
      <c r="I3" s="3"/>
      <c r="J3" s="3"/>
      <c r="K3" s="3"/>
    </row>
    <row r="4" spans="1:12" ht="15">
      <c r="A4" s="137" t="s">
        <v>113</v>
      </c>
      <c r="B4" s="143"/>
      <c r="C4" s="143"/>
      <c r="D4" s="143"/>
      <c r="E4" s="143"/>
      <c r="F4" s="143"/>
      <c r="G4" s="3"/>
      <c r="H4" s="3"/>
      <c r="I4" s="3"/>
      <c r="J4" s="3"/>
      <c r="K4" s="3"/>
    </row>
    <row r="5" spans="1:12" ht="4.9000000000000004" customHeight="1" thickBot="1">
      <c r="A5" s="17"/>
      <c r="B5" s="17"/>
      <c r="C5" s="17"/>
      <c r="D5" s="17"/>
      <c r="E5" s="17"/>
      <c r="F5" s="17"/>
      <c r="G5" s="17"/>
      <c r="H5" s="17"/>
      <c r="I5" s="17"/>
      <c r="J5" s="17"/>
      <c r="K5" s="17"/>
    </row>
    <row r="7" spans="1:12">
      <c r="B7" s="4"/>
      <c r="C7" s="4"/>
      <c r="D7" s="4"/>
      <c r="G7" s="5" t="s">
        <v>3</v>
      </c>
      <c r="H7" s="5"/>
      <c r="I7" s="383"/>
      <c r="J7" s="5" t="s">
        <v>4</v>
      </c>
      <c r="K7" s="76"/>
      <c r="L7" s="64" t="s">
        <v>5</v>
      </c>
    </row>
    <row r="8" spans="1:12">
      <c r="A8" s="9" t="str">
        <f>+'MAR WKSHT'!A8</f>
        <v>DEPARTMENT OF REVENUE SURTAX RECEIPTS COLLECTED (14E6-130-D130-R000-R284, R285, R286)</v>
      </c>
    </row>
    <row r="9" spans="1:12">
      <c r="B9" s="7" t="str">
        <f>+'MAR WKSHT'!B9</f>
        <v>GROSS RECEIPTS (REVENUE DISTRIBUTION)</v>
      </c>
      <c r="C9" s="7"/>
      <c r="E9"/>
    </row>
    <row r="10" spans="1:12">
      <c r="B10" s="7"/>
      <c r="C10" s="7" t="str">
        <f>+'MAR WKSHT'!C10</f>
        <v>VOLUNTEER FIRE DEPARTMENT AID</v>
      </c>
      <c r="E10"/>
    </row>
    <row r="11" spans="1:12">
      <c r="D11" s="7" t="str">
        <f>+'MAR WKSHT'!D11</f>
        <v>R284 Volunteer Fire Dept Aid Fund</v>
      </c>
      <c r="E11"/>
      <c r="H11" s="374">
        <v>2535979.04</v>
      </c>
      <c r="K11" s="74">
        <f>+H11+'MAR WKSHT'!K11</f>
        <v>22242423.689999998</v>
      </c>
    </row>
    <row r="12" spans="1:12">
      <c r="C12" s="7" t="str">
        <f>+'MAR WKSHT'!C12</f>
        <v>LAW ENFORCEMENT AND FIREFIGHTERS FUND</v>
      </c>
      <c r="D12" s="1"/>
      <c r="E12"/>
      <c r="G12" s="74"/>
      <c r="J12" s="74"/>
    </row>
    <row r="13" spans="1:12">
      <c r="D13" s="7" t="str">
        <f>+'MAR WKSHT'!D13</f>
        <v>R285 Law Enforcement Fund</v>
      </c>
      <c r="E13"/>
      <c r="F13" s="18"/>
      <c r="G13" s="174">
        <v>10091929.859999999</v>
      </c>
      <c r="J13" s="74">
        <f>+G13+'MAR WKSHT'!J13</f>
        <v>92624520.969999999</v>
      </c>
    </row>
    <row r="14" spans="1:12">
      <c r="D14" s="7" t="str">
        <f>+'MAR WKSHT'!D14</f>
        <v>R286 Firefighters Fund</v>
      </c>
      <c r="E14"/>
      <c r="G14" s="130">
        <v>2846441.79</v>
      </c>
      <c r="H14" s="11">
        <f>SUM(G13:G14)</f>
        <v>12938371.649999999</v>
      </c>
      <c r="I14" s="74"/>
      <c r="J14" s="11">
        <f>+G14+'MAR WKSHT'!J14</f>
        <v>26124865.120000001</v>
      </c>
      <c r="K14" s="11">
        <f>SUM(J13:J14)</f>
        <v>118749386.09</v>
      </c>
    </row>
    <row r="15" spans="1:12">
      <c r="D15" s="1"/>
      <c r="E15"/>
      <c r="G15" s="65"/>
      <c r="H15" s="74">
        <f>SUM(H11:H14)</f>
        <v>15474350.689999998</v>
      </c>
      <c r="I15" s="74"/>
      <c r="K15" s="74">
        <f>SUM(K11:K14)</f>
        <v>140991809.78</v>
      </c>
      <c r="L15" s="164">
        <f>+J51+J76-K15</f>
        <v>0</v>
      </c>
    </row>
    <row r="16" spans="1:12">
      <c r="D16" s="1"/>
      <c r="E16"/>
      <c r="G16" s="65"/>
      <c r="H16" s="74"/>
      <c r="I16" s="74"/>
      <c r="K16" s="74"/>
    </row>
    <row r="17" spans="2:13">
      <c r="B17" s="7" t="str">
        <f>+'MAR WKSHT'!B17</f>
        <v>OTHER DISTRIBUTIONS (review JVs other than Revenue Distribution)</v>
      </c>
      <c r="D17" s="1"/>
      <c r="E17"/>
      <c r="G17" s="19"/>
      <c r="H17" s="74"/>
      <c r="I17" s="74"/>
      <c r="K17" s="74"/>
    </row>
    <row r="18" spans="2:13">
      <c r="B18"/>
      <c r="C18" s="7" t="str">
        <f>+'MAR WKSHT'!C18</f>
        <v>REVENUE REFUNDS</v>
      </c>
      <c r="D18" s="7"/>
      <c r="E18"/>
    </row>
    <row r="19" spans="2:13">
      <c r="B19"/>
      <c r="C19" s="7"/>
      <c r="D19" s="7" t="str">
        <f>+'MAR WKSHT'!D19</f>
        <v>R284</v>
      </c>
      <c r="E19"/>
      <c r="G19" s="131"/>
      <c r="J19" s="74">
        <f>+G19+'MAR WKSHT'!J19</f>
        <v>0</v>
      </c>
    </row>
    <row r="20" spans="2:13">
      <c r="B20"/>
      <c r="C20" s="7"/>
      <c r="D20" s="7" t="str">
        <f>+'MAR WKSHT'!D20</f>
        <v>R285</v>
      </c>
      <c r="E20"/>
      <c r="G20" s="133">
        <v>-1728.66</v>
      </c>
      <c r="J20" s="2">
        <f>+G20+'MAR WKSHT'!J20</f>
        <v>-151043.23000000001</v>
      </c>
    </row>
    <row r="21" spans="2:13">
      <c r="B21"/>
      <c r="C21" s="7"/>
      <c r="D21" s="7" t="str">
        <f>+'MAR WKSHT'!D21</f>
        <v>R286</v>
      </c>
      <c r="E21"/>
      <c r="G21" s="130">
        <v>-487.56</v>
      </c>
      <c r="H21" s="2">
        <f>SUM(G19:G21)</f>
        <v>-2216.2200000000003</v>
      </c>
      <c r="J21" s="11">
        <f>+G21+'MAR WKSHT'!J21</f>
        <v>-42601.909999999996</v>
      </c>
      <c r="K21" s="2">
        <f>SUM(J19:J21)</f>
        <v>-193645.14</v>
      </c>
      <c r="L21" s="2">
        <f>+J52+J53+J77+J78-K21</f>
        <v>2216.2200000000012</v>
      </c>
    </row>
    <row r="22" spans="2:13">
      <c r="B22"/>
      <c r="C22" s="7" t="str">
        <f>+'MAR WKSHT'!C22</f>
        <v>UNHONORED CHECKS</v>
      </c>
      <c r="E22"/>
      <c r="L22" s="188"/>
      <c r="M22" s="177"/>
    </row>
    <row r="23" spans="2:13">
      <c r="B23"/>
      <c r="D23" s="7" t="str">
        <f>+'MAR WKSHT'!D23</f>
        <v>R284</v>
      </c>
      <c r="E23"/>
      <c r="G23" s="131">
        <v>0</v>
      </c>
      <c r="J23" s="74">
        <f>+G23+'MAR WKSHT'!J23</f>
        <v>0</v>
      </c>
    </row>
    <row r="24" spans="2:13">
      <c r="B24"/>
      <c r="D24" s="7" t="str">
        <f>+'MAR WKSHT'!D24</f>
        <v>R285</v>
      </c>
      <c r="E24"/>
      <c r="G24" s="133">
        <v>0</v>
      </c>
      <c r="J24" s="2">
        <f>+G24+'MAR WKSHT'!J24</f>
        <v>0</v>
      </c>
    </row>
    <row r="25" spans="2:13">
      <c r="B25"/>
      <c r="D25" s="7" t="str">
        <f>+'MAR WKSHT'!D25</f>
        <v>R286</v>
      </c>
      <c r="E25"/>
      <c r="G25" s="130">
        <v>0</v>
      </c>
      <c r="H25" s="2">
        <f>SUM(G23:G25)</f>
        <v>0</v>
      </c>
      <c r="J25" s="11">
        <f>+G25+'MAR WKSHT'!J25</f>
        <v>0</v>
      </c>
      <c r="K25" s="2">
        <f>SUM(J23:J25)</f>
        <v>0</v>
      </c>
      <c r="L25" s="2">
        <f>+J55+J80-K25</f>
        <v>0</v>
      </c>
    </row>
    <row r="26" spans="2:13">
      <c r="B26"/>
      <c r="C26" s="7" t="str">
        <f>+'MAR WKSHT'!C26</f>
        <v>RECEIPT ADJUSTMENTS</v>
      </c>
      <c r="E26"/>
      <c r="H26" s="177"/>
      <c r="I26" s="177"/>
    </row>
    <row r="27" spans="2:13">
      <c r="B27"/>
      <c r="D27" s="7" t="str">
        <f>+'MAR WKSHT'!D27</f>
        <v>R284</v>
      </c>
      <c r="E27"/>
      <c r="G27" s="174">
        <v>-33374.410000000003</v>
      </c>
      <c r="J27" s="74">
        <f>+G27+'MAR WKSHT'!J27</f>
        <v>-820481.4</v>
      </c>
    </row>
    <row r="28" spans="2:13">
      <c r="B28"/>
      <c r="D28" s="7" t="str">
        <f>+'MAR WKSHT'!D28</f>
        <v>R285</v>
      </c>
      <c r="E28"/>
      <c r="G28" s="164"/>
      <c r="J28" s="2">
        <f>+G28+'MAR WKSHT'!J28</f>
        <v>642183.63</v>
      </c>
    </row>
    <row r="29" spans="2:13">
      <c r="B29"/>
      <c r="D29" s="7" t="str">
        <f>+'MAR WKSHT'!D29</f>
        <v>R286</v>
      </c>
      <c r="E29"/>
      <c r="G29" s="205"/>
      <c r="H29" s="11">
        <f>SUM(G27:G29)</f>
        <v>-33374.410000000003</v>
      </c>
      <c r="J29" s="11">
        <f>+G29+'MAR WKSHT'!J29</f>
        <v>181128.69999999998</v>
      </c>
      <c r="K29" s="11">
        <f>SUM(J27:J29)</f>
        <v>2830.9299999999639</v>
      </c>
      <c r="L29" s="2">
        <f>J56+J81-K29</f>
        <v>8.7311491370201111E-11</v>
      </c>
    </row>
    <row r="30" spans="2:13" ht="13.5" thickBot="1">
      <c r="B30"/>
      <c r="D30" s="7" t="str">
        <f>+'MAR WKSHT'!D30</f>
        <v>NET RECEIPTS TO BE DISTRIBUTED</v>
      </c>
      <c r="E30"/>
      <c r="H30" s="78">
        <f>SUM(H15:H29)</f>
        <v>15438760.059999997</v>
      </c>
      <c r="I30" s="65"/>
      <c r="K30" s="78">
        <f>SUM(K15:K29)</f>
        <v>140800995.57000002</v>
      </c>
      <c r="L30" s="128"/>
      <c r="M30" s="177"/>
    </row>
    <row r="32" spans="2:13">
      <c r="B32" s="7" t="str">
        <f>+'MAR WKSHT'!B32</f>
        <v>TOTAL</v>
      </c>
      <c r="D32"/>
    </row>
    <row r="33" spans="1:18">
      <c r="C33" s="7" t="str">
        <f>+'MAR WKSHT'!C33</f>
        <v>R284</v>
      </c>
      <c r="D33"/>
      <c r="G33" s="74">
        <f>+G27+G23+G19+H11</f>
        <v>2502604.63</v>
      </c>
      <c r="J33" s="74">
        <f>+J27+J23+J19+K11</f>
        <v>21421942.289999999</v>
      </c>
    </row>
    <row r="34" spans="1:18">
      <c r="C34" s="7" t="str">
        <f>+'MAR WKSHT'!C34</f>
        <v>R285</v>
      </c>
      <c r="D34"/>
      <c r="G34" s="2">
        <f>+G28+G24+G20+G13</f>
        <v>10090201.199999999</v>
      </c>
      <c r="J34" s="2">
        <f>+J28+J24+J20+J13</f>
        <v>93115661.370000005</v>
      </c>
    </row>
    <row r="35" spans="1:18">
      <c r="C35" s="7" t="str">
        <f>+'MAR WKSHT'!C35</f>
        <v>R286</v>
      </c>
      <c r="D35"/>
      <c r="G35" s="11">
        <f>+G29+G25+G21+G14</f>
        <v>2845954.23</v>
      </c>
      <c r="H35" s="74">
        <f>SUM(G33:G35)</f>
        <v>15438760.059999999</v>
      </c>
      <c r="J35" s="11">
        <f>+J29+J25+J21+J14</f>
        <v>26263391.91</v>
      </c>
      <c r="K35" s="74">
        <f>SUM(J33:J35)</f>
        <v>140800995.56999999</v>
      </c>
    </row>
    <row r="37" spans="1:18" ht="15">
      <c r="C37" s="379" t="s">
        <v>60</v>
      </c>
      <c r="D37" s="212"/>
      <c r="E37" s="212"/>
      <c r="F37" s="212"/>
      <c r="G37" s="382" t="s">
        <v>61</v>
      </c>
      <c r="H37" s="381">
        <v>2400001705</v>
      </c>
      <c r="I37" s="265"/>
      <c r="J37" s="380"/>
      <c r="K37" s="380"/>
      <c r="L37" s="380"/>
    </row>
    <row r="38" spans="1:18">
      <c r="C38" s="212"/>
      <c r="D38" s="227"/>
      <c r="E38" s="212" t="s">
        <v>59</v>
      </c>
      <c r="F38" s="212"/>
      <c r="G38" s="212"/>
      <c r="H38" s="165">
        <f>G39+G40+G41</f>
        <v>2216.2200000000003</v>
      </c>
      <c r="I38" s="207"/>
      <c r="J38"/>
      <c r="K38"/>
      <c r="L38" s="180"/>
    </row>
    <row r="39" spans="1:18">
      <c r="C39" s="212"/>
      <c r="D39" s="227"/>
      <c r="E39" s="227" t="s">
        <v>66</v>
      </c>
      <c r="F39" s="212"/>
      <c r="G39" s="212">
        <f>-G19</f>
        <v>0</v>
      </c>
      <c r="H39" s="165"/>
      <c r="I39" s="207"/>
      <c r="J39"/>
      <c r="K39"/>
      <c r="L39" s="180"/>
    </row>
    <row r="40" spans="1:18">
      <c r="C40" s="212"/>
      <c r="D40" s="212"/>
      <c r="E40" s="227" t="s">
        <v>65</v>
      </c>
      <c r="F40" s="227"/>
      <c r="G40" s="165">
        <f>-G20</f>
        <v>1728.66</v>
      </c>
      <c r="H40" s="212"/>
      <c r="I40" s="207"/>
      <c r="J40"/>
      <c r="K40"/>
      <c r="L40"/>
    </row>
    <row r="41" spans="1:18">
      <c r="C41" s="212"/>
      <c r="D41" s="212"/>
      <c r="E41" s="227" t="s">
        <v>66</v>
      </c>
      <c r="F41" s="212"/>
      <c r="G41" s="212">
        <f>-G21</f>
        <v>487.56</v>
      </c>
      <c r="H41" s="212"/>
      <c r="I41" s="207"/>
    </row>
    <row r="42" spans="1:18">
      <c r="C42" s="379" t="s">
        <v>72</v>
      </c>
      <c r="D42" s="212"/>
      <c r="E42" s="227"/>
      <c r="F42" s="285"/>
      <c r="G42" s="212"/>
      <c r="H42" s="212"/>
      <c r="I42" s="207"/>
    </row>
    <row r="43" spans="1:18">
      <c r="C43" s="212"/>
      <c r="D43" s="212"/>
      <c r="E43" s="227"/>
      <c r="F43" s="285"/>
      <c r="G43" s="212"/>
      <c r="H43" s="212"/>
      <c r="I43" s="207"/>
    </row>
    <row r="44" spans="1:18">
      <c r="F44" s="378"/>
    </row>
    <row r="45" spans="1:18">
      <c r="A45" s="9" t="str">
        <f>+'MAR WKSHT'!A45</f>
        <v>LAW ENFORCEMENT FOUNDATION FUND (13DB-525-0000)</v>
      </c>
      <c r="E45" s="7"/>
      <c r="F45" s="177"/>
      <c r="G45" s="177"/>
      <c r="H45" s="177"/>
    </row>
    <row r="46" spans="1:18">
      <c r="A46" s="9"/>
      <c r="B46" s="7" t="str">
        <f>+'MAR WKSHT'!B46</f>
        <v>BALANCE FORWARDED FROM FISCAL YEAR 2023</v>
      </c>
      <c r="K46" s="74">
        <f>+'MAR WKSHT'!K46</f>
        <v>73871638.640000001</v>
      </c>
    </row>
    <row r="47" spans="1:18">
      <c r="A47" s="9"/>
      <c r="K47" s="74"/>
      <c r="R47" s="237"/>
    </row>
    <row r="48" spans="1:18">
      <c r="B48" s="10" t="str">
        <f>+'MAR WKSHT'!B66</f>
        <v>CASH BALANCE MARCH 31, 2024</v>
      </c>
      <c r="H48" s="108">
        <f>+'MAR WKSHT'!H66</f>
        <v>98298969.840000018</v>
      </c>
      <c r="I48" s="74"/>
      <c r="R48" s="238"/>
    </row>
    <row r="49" spans="2:18">
      <c r="B49" s="7"/>
      <c r="H49" s="74"/>
      <c r="I49" s="74"/>
      <c r="R49" s="237"/>
    </row>
    <row r="50" spans="2:18">
      <c r="B50" s="7" t="str">
        <f>+'MAR WKSHT'!B50</f>
        <v>REVENUE DISTRIBUTION INCOME (REVENUE DETAIL WORKSHEET):</v>
      </c>
      <c r="H50" s="67" t="s">
        <v>63</v>
      </c>
      <c r="K50" s="67" t="s">
        <v>63</v>
      </c>
    </row>
    <row r="51" spans="2:18" ht="20.25">
      <c r="C51" s="7" t="str">
        <f>+'MAR WKSHT'!C51</f>
        <v>REVENUE DISTRIBUTION (N114)</v>
      </c>
      <c r="G51" s="131">
        <v>10091929.859999999</v>
      </c>
      <c r="H51" s="66">
        <f>+H14*0.78</f>
        <v>10091929.887</v>
      </c>
      <c r="J51" s="74">
        <f>+G51+'MAR WKSHT'!J51</f>
        <v>92624520.969999999</v>
      </c>
      <c r="K51" s="66">
        <f>+K14*0.78</f>
        <v>92624521.150200009</v>
      </c>
      <c r="L51" s="177"/>
      <c r="M51" s="163"/>
    </row>
    <row r="52" spans="2:18">
      <c r="C52" s="7" t="str">
        <f>+'MAR WKSHT'!C52</f>
        <v>REVENUE REFUNDS:  PRIOR YEAR</v>
      </c>
      <c r="G52" s="133"/>
      <c r="J52" s="2">
        <f>+G52+'MAR WKSHT'!J52</f>
        <v>0</v>
      </c>
    </row>
    <row r="53" spans="2:18">
      <c r="C53" s="7" t="str">
        <f>+'MAR WKSHT'!C53</f>
        <v>REVENUE REFUNDS:  CURRENT YEAR</v>
      </c>
      <c r="G53" s="133">
        <v>-97022.5</v>
      </c>
      <c r="J53" s="2">
        <f>+G53+'MAR WKSHT'!J53</f>
        <v>-149314.57</v>
      </c>
    </row>
    <row r="54" spans="2:18">
      <c r="C54" s="7" t="str">
        <f>+'MAR WKSHT'!C54</f>
        <v>REFUND OF PRIOR YEAR DISBURSEMENTS (R881)</v>
      </c>
      <c r="G54" s="133"/>
      <c r="J54" s="2">
        <f>+G54+'MAR WKSHT'!J54</f>
        <v>0</v>
      </c>
    </row>
    <row r="55" spans="2:18">
      <c r="C55" s="7" t="str">
        <f>+'MAR WKSHT'!C55</f>
        <v>UNHONORED CHECKS</v>
      </c>
      <c r="G55" s="133"/>
      <c r="J55" s="2">
        <f>+G55+'MAR WKSHT'!J55</f>
        <v>0</v>
      </c>
      <c r="M55" s="63"/>
    </row>
    <row r="56" spans="2:18">
      <c r="C56" s="7" t="str">
        <f>+'MAR WKSHT'!C56</f>
        <v>RECEIPT ADJUSTMENTS</v>
      </c>
      <c r="G56" s="133"/>
      <c r="H56" s="2">
        <f>SUM(G51:G56)</f>
        <v>9994907.3599999994</v>
      </c>
      <c r="J56" s="11">
        <f>+G56+'MAR WKSHT'!J56</f>
        <v>642183.63</v>
      </c>
      <c r="K56" s="2">
        <f>SUM(J51:J56)</f>
        <v>93117390.030000001</v>
      </c>
    </row>
    <row r="58" spans="2:18">
      <c r="B58" s="7" t="str">
        <f>+'MAR WKSHT'!B58</f>
        <v>INVESTMENT INCOME (R771)</v>
      </c>
      <c r="C58"/>
      <c r="H58" s="133">
        <v>424306.1</v>
      </c>
      <c r="K58" s="2">
        <f>+H58+'MAR WKSHT'!K58</f>
        <v>3600584.4899999998</v>
      </c>
      <c r="M58"/>
    </row>
    <row r="59" spans="2:18">
      <c r="L59" s="193" t="s">
        <v>50</v>
      </c>
      <c r="M59" s="63"/>
    </row>
    <row r="60" spans="2:18">
      <c r="B60" s="7" t="str">
        <f>+'MAR WKSHT'!B60</f>
        <v>OTHER REVENUE</v>
      </c>
      <c r="H60" s="133">
        <v>6821.25</v>
      </c>
      <c r="K60" s="2">
        <f>+H60+'MAR WKSHT'!K60</f>
        <v>12931.36</v>
      </c>
      <c r="L60" s="377">
        <f>3769615.11+'MAR WKSHT'!L60</f>
        <v>28054490.68</v>
      </c>
    </row>
    <row r="61" spans="2:18">
      <c r="L61" s="173" t="s">
        <v>54</v>
      </c>
      <c r="M61" s="63"/>
    </row>
    <row r="62" spans="2:18">
      <c r="B62" s="7" t="str">
        <f>+'MAR WKSHT'!B62</f>
        <v>EXPENDITURES (LAW ENFORCEMENT SUMMARY)</v>
      </c>
      <c r="L62" s="173">
        <f>+K46</f>
        <v>73871638.640000001</v>
      </c>
    </row>
    <row r="63" spans="2:18">
      <c r="B63" s="7"/>
      <c r="C63" s="6" t="str">
        <f>+'AUG WKSHT'!C63</f>
        <v>CASH EXPENDITURES</v>
      </c>
      <c r="H63" s="177"/>
      <c r="I63" s="177"/>
      <c r="J63" s="133">
        <v>68676415.200000003</v>
      </c>
      <c r="K63" s="177"/>
      <c r="L63" s="173" t="s">
        <v>55</v>
      </c>
    </row>
    <row r="64" spans="2:18">
      <c r="B64" s="7"/>
      <c r="C64" s="6" t="str">
        <f>+'AUG WKSHT'!C64</f>
        <v>ACCRUED EXPENDITURES</v>
      </c>
      <c r="H64" s="183">
        <f>+K64-'MAR WKSHT'!K64</f>
        <v>6655863.9900000095</v>
      </c>
      <c r="I64" s="177"/>
      <c r="J64" s="133">
        <v>-143011.24</v>
      </c>
      <c r="K64" s="183">
        <f>SUM(J63:J64)</f>
        <v>68533403.960000008</v>
      </c>
      <c r="L64" s="173">
        <f>+J64</f>
        <v>-143011.24</v>
      </c>
    </row>
    <row r="65" spans="1:16">
      <c r="L65" s="173" t="s">
        <v>53</v>
      </c>
      <c r="M65" s="177" t="s">
        <v>70</v>
      </c>
    </row>
    <row r="66" spans="1:16" ht="13.5" thickBot="1">
      <c r="B66" s="369" t="s">
        <v>114</v>
      </c>
      <c r="C66" s="144"/>
      <c r="D66" s="144"/>
      <c r="E66" s="144"/>
      <c r="H66" s="79">
        <f>+H48+H56+H58+H60-H64</f>
        <v>102069140.56</v>
      </c>
      <c r="K66" s="79">
        <f>+K46+K56+K58+K60-K64</f>
        <v>102069140.56000003</v>
      </c>
      <c r="L66" s="213">
        <f>+L60+L62-L64</f>
        <v>102069140.55999999</v>
      </c>
      <c r="M66" s="177">
        <f>L66-K66</f>
        <v>0</v>
      </c>
    </row>
    <row r="67" spans="1:16">
      <c r="L67" s="177"/>
      <c r="M67" s="177"/>
    </row>
    <row r="68" spans="1:16">
      <c r="A68" s="9" t="str">
        <f>+'MAR WKSHT'!A68</f>
        <v>FIREFIGHTERS FOUNDATION FUND (1341-470-UNIT-PK00)</v>
      </c>
      <c r="L68" s="2" t="s">
        <v>58</v>
      </c>
      <c r="M68" s="177"/>
    </row>
    <row r="69" spans="1:16">
      <c r="A69" s="7"/>
      <c r="B69" s="6" t="str">
        <f>+B46</f>
        <v>BALANCE FORWARDED FROM FISCAL YEAR 2023</v>
      </c>
      <c r="K69" s="74">
        <f>+'MAR WKSHT'!K69</f>
        <v>38612985.210000001</v>
      </c>
      <c r="M69" s="177"/>
    </row>
    <row r="70" spans="1:16">
      <c r="A70" s="9"/>
      <c r="K70" s="74"/>
      <c r="M70" s="177"/>
    </row>
    <row r="71" spans="1:16">
      <c r="B71" s="7" t="str">
        <f>+B48</f>
        <v>CASH BALANCE MARCH 31, 2024</v>
      </c>
      <c r="H71" s="108">
        <f>+'MAR WKSHT'!H89</f>
        <v>44611640.859999992</v>
      </c>
      <c r="I71" s="74"/>
      <c r="M71" s="177"/>
    </row>
    <row r="72" spans="1:16">
      <c r="B72" s="7"/>
      <c r="H72" s="74"/>
      <c r="I72" s="74"/>
      <c r="M72" s="177"/>
    </row>
    <row r="73" spans="1:16">
      <c r="B73" s="10" t="str">
        <f>+B50</f>
        <v>REVENUE DISTRIBUTION INCOME (REVENUE DETAIL WORKSHEET):</v>
      </c>
      <c r="M73" s="177"/>
      <c r="P73" s="237"/>
    </row>
    <row r="74" spans="1:16">
      <c r="C74" s="7" t="str">
        <f>+C51</f>
        <v>REVENUE DISTRIBUTION (N114)</v>
      </c>
      <c r="H74" s="67" t="s">
        <v>64</v>
      </c>
      <c r="K74" s="67"/>
      <c r="M74" s="177"/>
      <c r="P74" s="237"/>
    </row>
    <row r="75" spans="1:16">
      <c r="C75" s="7"/>
      <c r="D75" s="7" t="str">
        <f>+'MAR WKSHT'!D75</f>
        <v>FIREFIGHTERS FUND</v>
      </c>
      <c r="F75" s="131">
        <v>2846441.79</v>
      </c>
      <c r="G75" s="74"/>
      <c r="H75" s="66">
        <f>+H14*0.22</f>
        <v>2846441.7629999998</v>
      </c>
      <c r="J75" s="74"/>
      <c r="K75" s="66"/>
      <c r="L75" s="169" t="s">
        <v>43</v>
      </c>
      <c r="M75" s="177"/>
    </row>
    <row r="76" spans="1:16">
      <c r="C76" s="7"/>
      <c r="D76" s="7" t="str">
        <f>+'MAR WKSHT'!D76</f>
        <v>VOLUNTEER FIRE DEPT AID</v>
      </c>
      <c r="F76" s="130">
        <v>2535979.04</v>
      </c>
      <c r="G76" s="74">
        <f>SUM(F75:F76)</f>
        <v>5382420.8300000001</v>
      </c>
      <c r="J76" s="74">
        <f>+G76+'MAR WKSHT'!J76</f>
        <v>48367288.810000002</v>
      </c>
      <c r="L76" s="173">
        <f>+K11+J14</f>
        <v>48367288.810000002</v>
      </c>
      <c r="M76" s="177"/>
    </row>
    <row r="77" spans="1:16">
      <c r="C77" s="7" t="str">
        <f>+C52</f>
        <v>REVENUE REFUNDS:  PRIOR YEAR</v>
      </c>
      <c r="G77" s="133"/>
      <c r="J77" s="2">
        <f>+G77+'MAR WKSHT'!J77</f>
        <v>0</v>
      </c>
      <c r="L77" s="198" t="s">
        <v>44</v>
      </c>
      <c r="M77" s="177"/>
    </row>
    <row r="78" spans="1:16" ht="16.5" customHeight="1">
      <c r="C78" s="6" t="str">
        <f>+C53</f>
        <v>REVENUE REFUNDS:  CURRENT YEAR</v>
      </c>
      <c r="G78" s="133">
        <v>-27365.32</v>
      </c>
      <c r="J78" s="2">
        <f>+G78+'MAR WKSHT'!J78</f>
        <v>-42114.35</v>
      </c>
      <c r="L78" s="236"/>
      <c r="M78" s="177"/>
    </row>
    <row r="79" spans="1:16">
      <c r="C79" s="7" t="str">
        <f>+C54</f>
        <v>REFUND OF PRIOR YEAR DISBURSEMENTS (R881)</v>
      </c>
      <c r="G79" s="133"/>
      <c r="J79" s="2">
        <f>+G79+'MAR WKSHT'!J79</f>
        <v>0</v>
      </c>
      <c r="M79" s="177"/>
    </row>
    <row r="80" spans="1:16">
      <c r="C80" s="6" t="str">
        <f>+C55</f>
        <v>UNHONORED CHECKS</v>
      </c>
      <c r="G80" s="133"/>
      <c r="J80" s="2">
        <f>+G80+'MAR WKSHT'!J80</f>
        <v>0</v>
      </c>
      <c r="M80" s="177"/>
    </row>
    <row r="81" spans="1:13">
      <c r="C81" s="6" t="str">
        <f>+C56</f>
        <v>RECEIPT ADJUSTMENTS</v>
      </c>
      <c r="G81" s="205">
        <v>-33374.410000000003</v>
      </c>
      <c r="H81" s="2">
        <f>SUM(G75:G81)</f>
        <v>5321681.0999999996</v>
      </c>
      <c r="J81" s="11">
        <f>+G81+'MAR WKSHT'!J81</f>
        <v>-639352.69999999995</v>
      </c>
      <c r="K81" s="2">
        <f>SUM(J76:J81)</f>
        <v>47685821.759999998</v>
      </c>
      <c r="M81" s="177"/>
    </row>
    <row r="82" spans="1:13">
      <c r="M82" s="177"/>
    </row>
    <row r="83" spans="1:13">
      <c r="B83" s="7" t="str">
        <f>+B58</f>
        <v>INVESTMENT INCOME (R771)</v>
      </c>
      <c r="C83"/>
      <c r="H83" s="133">
        <v>57493.97</v>
      </c>
      <c r="K83" s="2">
        <f>+H83+'MAR WKSHT'!K83</f>
        <v>1554763.35</v>
      </c>
      <c r="M83" s="177"/>
    </row>
    <row r="84" spans="1:13">
      <c r="L84" s="193" t="s">
        <v>50</v>
      </c>
      <c r="M84" s="177"/>
    </row>
    <row r="85" spans="1:13">
      <c r="B85" s="7" t="str">
        <f>+B60</f>
        <v>OTHER REVENUE</v>
      </c>
      <c r="C85"/>
      <c r="H85" s="133">
        <v>0</v>
      </c>
      <c r="K85" s="2">
        <f>+H85+'MAR WKSHT'!K85</f>
        <v>0</v>
      </c>
      <c r="L85" s="286">
        <f>3780822.7+'MAR WKSHT'!L85</f>
        <v>9779478.3500000015</v>
      </c>
      <c r="M85" s="177"/>
    </row>
    <row r="86" spans="1:13">
      <c r="L86" s="173" t="s">
        <v>54</v>
      </c>
      <c r="M86" s="177"/>
    </row>
    <row r="87" spans="1:13">
      <c r="B87" s="7" t="str">
        <f>+'MAR WKSHT'!B87</f>
        <v>EXPENDITURES (FIREFIGHTERS SUMMARY)</v>
      </c>
      <c r="H87" s="11">
        <f>+K87-'MAR WKSHT'!K87</f>
        <v>1598352.3699999973</v>
      </c>
      <c r="K87" s="133">
        <v>39461106.759999998</v>
      </c>
      <c r="L87" s="173">
        <f>+K69</f>
        <v>38612985.210000001</v>
      </c>
      <c r="M87" s="177"/>
    </row>
    <row r="88" spans="1:13">
      <c r="L88" s="173" t="s">
        <v>53</v>
      </c>
      <c r="M88" s="177" t="s">
        <v>70</v>
      </c>
    </row>
    <row r="89" spans="1:13" ht="13.5" thickBot="1">
      <c r="C89" s="247" t="str">
        <f>+B66</f>
        <v>CASH BALANCE APRIL 30, 2024</v>
      </c>
      <c r="D89" s="247"/>
      <c r="E89" s="247"/>
      <c r="H89" s="79">
        <f>+H71+H81+H83+H85-H87</f>
        <v>48392463.559999995</v>
      </c>
      <c r="K89" s="119">
        <f>+K69+K81+K83+K85-K87</f>
        <v>48392463.559999995</v>
      </c>
      <c r="L89" s="213">
        <f>+L85+L87</f>
        <v>48392463.560000002</v>
      </c>
      <c r="M89" s="177">
        <f>L89-K89</f>
        <v>0</v>
      </c>
    </row>
    <row r="92" spans="1:13" ht="15.75">
      <c r="A92" s="287" t="s">
        <v>69</v>
      </c>
      <c r="B92" s="288"/>
      <c r="C92" s="288"/>
      <c r="D92" s="288"/>
      <c r="E92" s="288"/>
      <c r="F92" s="207"/>
      <c r="G92" s="207"/>
      <c r="H92" s="207"/>
      <c r="I92" s="207"/>
      <c r="J92" s="207"/>
      <c r="K92" s="207"/>
      <c r="L92" s="207"/>
    </row>
    <row r="93" spans="1:13" ht="15.75">
      <c r="A93" s="287"/>
      <c r="B93" s="288"/>
      <c r="C93" s="289" t="s">
        <v>75</v>
      </c>
      <c r="D93" s="288"/>
      <c r="E93" s="288"/>
      <c r="F93" s="207"/>
      <c r="G93" s="207"/>
      <c r="H93" s="207"/>
      <c r="I93" s="207"/>
      <c r="J93" s="207"/>
      <c r="K93" s="207"/>
      <c r="L93" s="207"/>
    </row>
    <row r="94" spans="1:13">
      <c r="A94" s="288"/>
      <c r="B94" s="288"/>
      <c r="C94" s="376"/>
      <c r="D94" s="288"/>
      <c r="E94" s="290"/>
      <c r="F94" s="291"/>
      <c r="G94" s="375"/>
      <c r="H94" s="292"/>
      <c r="I94" s="207"/>
      <c r="J94" s="207"/>
      <c r="K94" s="207"/>
      <c r="L94" s="207"/>
    </row>
    <row r="95" spans="1:13">
      <c r="A95" s="288"/>
      <c r="B95" s="288"/>
      <c r="C95" s="376"/>
      <c r="D95" s="288"/>
      <c r="E95" s="290"/>
      <c r="F95" s="291"/>
      <c r="G95" s="375"/>
      <c r="H95" s="292"/>
      <c r="I95" s="207"/>
      <c r="J95" s="207"/>
      <c r="K95" s="207"/>
      <c r="L95" s="207"/>
    </row>
    <row r="96" spans="1:13">
      <c r="A96" s="288"/>
      <c r="B96" s="288"/>
      <c r="C96" s="376"/>
      <c r="D96" s="288"/>
      <c r="E96" s="290"/>
      <c r="F96" s="291"/>
      <c r="G96" s="375"/>
      <c r="H96" s="292"/>
      <c r="I96" s="207"/>
      <c r="J96" s="207"/>
      <c r="K96" s="207"/>
      <c r="L96" s="207"/>
    </row>
    <row r="97" spans="1:12">
      <c r="A97" s="288"/>
      <c r="B97" s="288"/>
      <c r="C97" s="376"/>
      <c r="D97" s="288"/>
      <c r="E97" s="290"/>
      <c r="F97" s="291"/>
      <c r="G97" s="375"/>
      <c r="H97" s="292"/>
      <c r="I97" s="207"/>
      <c r="J97" s="207"/>
      <c r="K97" s="207"/>
      <c r="L97" s="207"/>
    </row>
    <row r="98" spans="1:12">
      <c r="A98" s="288"/>
      <c r="B98" s="288"/>
      <c r="C98" s="288"/>
      <c r="D98" s="288"/>
      <c r="E98" s="288"/>
      <c r="F98" s="207"/>
      <c r="G98" s="293"/>
      <c r="H98" s="294"/>
      <c r="I98" s="207"/>
      <c r="J98" s="207"/>
      <c r="K98" s="207"/>
      <c r="L98" s="207"/>
    </row>
    <row r="99" spans="1:12">
      <c r="A99" s="288"/>
      <c r="B99" s="288"/>
      <c r="C99" s="289" t="s">
        <v>74</v>
      </c>
      <c r="D99" s="288"/>
      <c r="E99" s="288"/>
      <c r="F99" s="207"/>
      <c r="G99" s="293"/>
      <c r="H99" s="294"/>
      <c r="I99" s="207"/>
      <c r="J99" s="207"/>
      <c r="K99" s="207"/>
      <c r="L99" s="207"/>
    </row>
    <row r="100" spans="1:12">
      <c r="A100" s="288"/>
      <c r="B100" s="288"/>
      <c r="C100" s="288"/>
      <c r="D100" s="288"/>
      <c r="E100" s="290"/>
      <c r="F100" s="291"/>
      <c r="G100" s="375"/>
      <c r="H100" s="292"/>
      <c r="I100" s="207"/>
      <c r="J100" s="207"/>
      <c r="K100" s="207"/>
      <c r="L100" s="207"/>
    </row>
    <row r="101" spans="1:12">
      <c r="A101" s="288"/>
      <c r="B101" s="288"/>
      <c r="C101" s="288"/>
      <c r="D101" s="288"/>
      <c r="E101" s="290"/>
      <c r="F101" s="291"/>
      <c r="G101" s="375"/>
      <c r="H101" s="295"/>
      <c r="I101" s="207"/>
      <c r="J101" s="207"/>
      <c r="K101" s="207"/>
      <c r="L101" s="207"/>
    </row>
    <row r="102" spans="1:12">
      <c r="A102" s="288"/>
      <c r="B102" s="288"/>
      <c r="C102" s="288"/>
      <c r="D102" s="288"/>
      <c r="E102" s="290"/>
      <c r="F102" s="291"/>
      <c r="G102" s="375"/>
      <c r="H102" s="292"/>
      <c r="I102" s="207"/>
      <c r="J102" s="207"/>
      <c r="K102" s="207"/>
      <c r="L102" s="207"/>
    </row>
    <row r="103" spans="1:12">
      <c r="A103" s="288"/>
      <c r="B103" s="288"/>
      <c r="C103" s="288"/>
      <c r="D103" s="288"/>
      <c r="E103" s="290"/>
      <c r="F103" s="291"/>
      <c r="G103" s="375"/>
      <c r="H103" s="292"/>
      <c r="I103" s="207"/>
      <c r="J103" s="207"/>
      <c r="K103" s="207"/>
      <c r="L103" s="207"/>
    </row>
  </sheetData>
  <printOptions horizontalCentered="1" verticalCentered="1"/>
  <pageMargins left="0" right="0" top="0" bottom="0" header="0" footer="0"/>
  <pageSetup scale="58" orientation="portrait" r:id="rId1"/>
  <headerFooter alignWithMargins="0">
    <oddHeader>&amp;R&amp;F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65"/>
  <sheetViews>
    <sheetView workbookViewId="0">
      <selection activeCell="H11" sqref="H11"/>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8" width="14.7109375" style="2" customWidth="1"/>
    <col min="9" max="9" width="16" style="2" bestFit="1" customWidth="1"/>
    <col min="10" max="11" width="1.7109375" style="2" customWidth="1"/>
    <col min="12" max="13" width="15.5703125" style="2" customWidth="1"/>
    <col min="14" max="14" width="1.7109375" style="2" customWidth="1"/>
    <col min="15" max="15" width="10.28515625" style="2"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+'APR WKSHT'!A4</f>
        <v>FOR THE PERIOD April 1, 2024- April 30, 2024</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64"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+'APR WKSHT'!H11</f>
        <v>2535979.04</v>
      </c>
      <c r="I11" s="13"/>
      <c r="J11" s="34"/>
      <c r="K11" s="42"/>
      <c r="L11" s="13">
        <f>+'APR WKSHT'!K11</f>
        <v>22242423.689999998</v>
      </c>
      <c r="M11" s="13"/>
      <c r="N11" s="34"/>
    </row>
    <row r="12" spans="1:15">
      <c r="A12" s="53"/>
      <c r="B12" s="31"/>
      <c r="C12" s="31" t="str">
        <f>+JUL!C12</f>
        <v>LAW ENFORCEMENT AND FIREFIGHTERS FUND</v>
      </c>
      <c r="D12" s="32"/>
      <c r="E12" s="33"/>
      <c r="F12" s="35"/>
      <c r="G12" s="42"/>
      <c r="H12" s="11">
        <f>+'APR WKSHT'!H14</f>
        <v>12938371.649999999</v>
      </c>
      <c r="I12" s="13">
        <f>SUM(H11:H12)</f>
        <v>15474350.689999998</v>
      </c>
      <c r="J12" s="34"/>
      <c r="K12" s="42"/>
      <c r="L12" s="11">
        <f>+'APR WKSHT'!K14</f>
        <v>118749386.09</v>
      </c>
      <c r="M12" s="13">
        <f>SUM(L11:L12)</f>
        <v>140991809.78</v>
      </c>
      <c r="N12" s="34"/>
    </row>
    <row r="13" spans="1:15">
      <c r="A13" s="53"/>
      <c r="B13" s="31" t="str">
        <f>+JUL!B13</f>
        <v>REVENUE REFUNDS</v>
      </c>
      <c r="C13" s="33"/>
      <c r="D13" s="31"/>
      <c r="E13" s="33"/>
      <c r="F13" s="35"/>
      <c r="G13" s="42"/>
      <c r="H13" s="16"/>
      <c r="I13" s="16">
        <f>+'APR WKSHT'!H21</f>
        <v>-2216.2200000000003</v>
      </c>
      <c r="J13" s="35"/>
      <c r="K13" s="42"/>
      <c r="L13" s="16"/>
      <c r="M13" s="16">
        <f>+'APR WKSHT'!K21</f>
        <v>-193645.14</v>
      </c>
      <c r="N13" s="35"/>
    </row>
    <row r="14" spans="1:15">
      <c r="A14" s="30"/>
      <c r="B14" s="31" t="str">
        <f>+JUL!B14</f>
        <v>UNHONORED CHECKS</v>
      </c>
      <c r="C14" s="33"/>
      <c r="D14" s="32"/>
      <c r="E14" s="33"/>
      <c r="F14" s="35"/>
      <c r="G14" s="42"/>
      <c r="H14" s="16"/>
      <c r="I14" s="16">
        <f>+'APR WKSHT'!H25</f>
        <v>0</v>
      </c>
      <c r="J14" s="35"/>
      <c r="K14" s="42"/>
      <c r="L14" s="16"/>
      <c r="M14" s="16">
        <f>+'APR WKSHT'!K25</f>
        <v>0</v>
      </c>
      <c r="N14" s="35"/>
    </row>
    <row r="15" spans="1:15">
      <c r="A15" s="30"/>
      <c r="B15" s="31" t="str">
        <f>+JUL!B15</f>
        <v>RECEIPT ADJUSTMENTS</v>
      </c>
      <c r="C15" s="33"/>
      <c r="D15" s="32"/>
      <c r="E15" s="33"/>
      <c r="F15" s="35"/>
      <c r="G15" s="42"/>
      <c r="H15" s="16"/>
      <c r="I15" s="36">
        <f>+'APR WKSHT'!H29</f>
        <v>-33374.410000000003</v>
      </c>
      <c r="J15" s="37"/>
      <c r="K15" s="42"/>
      <c r="L15" s="16"/>
      <c r="M15" s="36">
        <f>+'APR WKSHT'!K29</f>
        <v>2830.9299999999639</v>
      </c>
      <c r="N15" s="37"/>
    </row>
    <row r="16" spans="1:15" ht="13.5" thickBot="1">
      <c r="A16" s="50"/>
      <c r="B16" s="33"/>
      <c r="C16" s="31" t="str">
        <f>+JUL!C16</f>
        <v>NET RECEIPTS TO BE DISTRIBUTED</v>
      </c>
      <c r="D16" s="33"/>
      <c r="E16" s="33"/>
      <c r="F16" s="35"/>
      <c r="G16" s="42"/>
      <c r="H16" s="16"/>
      <c r="I16" s="22">
        <f>SUM(I10:I15)</f>
        <v>15438760.059999997</v>
      </c>
      <c r="J16" s="56"/>
      <c r="K16" s="42"/>
      <c r="L16" s="16"/>
      <c r="M16" s="22">
        <f>SUM(M10:M15)</f>
        <v>140800995.57000002</v>
      </c>
      <c r="N16" s="56"/>
      <c r="O16" s="2">
        <f>+I16-'APR WKSHT'!H30</f>
        <v>0</v>
      </c>
    </row>
    <row r="17" spans="1:15" ht="13.5" thickBot="1">
      <c r="A17" s="38"/>
      <c r="B17" s="39"/>
      <c r="C17" s="39"/>
      <c r="D17" s="39"/>
      <c r="E17" s="39"/>
      <c r="F17" s="40"/>
      <c r="G17" s="43"/>
      <c r="H17" s="14"/>
      <c r="I17" s="14"/>
      <c r="J17" s="40"/>
      <c r="K17" s="43"/>
      <c r="L17" s="14"/>
      <c r="M17" s="14"/>
      <c r="N17" s="40"/>
      <c r="O17" s="2">
        <f>+M16-'APR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+'APR WKSHT'!K46</f>
        <v>73871638.640000001</v>
      </c>
      <c r="N22" s="35"/>
    </row>
    <row r="23" spans="1:15">
      <c r="A23" s="49"/>
      <c r="B23" s="44"/>
      <c r="C23" s="32"/>
      <c r="D23" s="32"/>
      <c r="E23" s="32"/>
      <c r="F23" s="35"/>
      <c r="G23" s="42"/>
      <c r="H23" s="16"/>
      <c r="I23" s="16"/>
      <c r="J23" s="35"/>
      <c r="K23" s="42"/>
      <c r="L23" s="16"/>
      <c r="M23" s="16"/>
      <c r="N23" s="35"/>
    </row>
    <row r="24" spans="1:15">
      <c r="A24" s="53"/>
      <c r="B24" s="31" t="str">
        <f>+'APR WKSHT'!B48</f>
        <v>CASH BALANCE MARCH 31, 2024</v>
      </c>
      <c r="C24" s="33"/>
      <c r="D24" s="32"/>
      <c r="E24" s="32"/>
      <c r="F24" s="35"/>
      <c r="G24" s="42"/>
      <c r="H24" s="16"/>
      <c r="I24" s="20">
        <f>+'APR WKSHT'!H48</f>
        <v>98298969.840000018</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+'APR WKSHT'!G51</f>
        <v>10091929.859999999</v>
      </c>
      <c r="I27" s="33"/>
      <c r="J27" s="57"/>
      <c r="K27" s="42"/>
      <c r="L27" s="20">
        <f>+'APR WKSHT'!J51</f>
        <v>92624520.969999999</v>
      </c>
      <c r="M27" s="33"/>
      <c r="N27" s="57"/>
    </row>
    <row r="28" spans="1:15">
      <c r="A28" s="30"/>
      <c r="B28" s="32"/>
      <c r="C28" s="31" t="str">
        <f>+JUL!C28</f>
        <v>REVENUE REFUNDS:  PRIOR YEAR</v>
      </c>
      <c r="D28" s="32"/>
      <c r="E28" s="32"/>
      <c r="F28" s="35"/>
      <c r="G28" s="42"/>
      <c r="H28" s="16">
        <f>+'APR WKSHT'!G52</f>
        <v>0</v>
      </c>
      <c r="I28" s="33"/>
      <c r="J28" s="57"/>
      <c r="K28" s="42"/>
      <c r="L28" s="16">
        <f>+'APR WKSHT'!J52</f>
        <v>0</v>
      </c>
      <c r="M28" s="33"/>
      <c r="N28" s="57"/>
    </row>
    <row r="29" spans="1:15">
      <c r="A29" s="30"/>
      <c r="B29" s="32"/>
      <c r="C29" s="31" t="str">
        <f>+JUL!C29</f>
        <v>REVENUE REFUNDS:  CURRENT YEAR</v>
      </c>
      <c r="D29" s="32"/>
      <c r="E29" s="32"/>
      <c r="F29" s="35"/>
      <c r="G29" s="42"/>
      <c r="H29" s="16">
        <f>+'APR WKSHT'!G53</f>
        <v>-97022.5</v>
      </c>
      <c r="I29" s="33"/>
      <c r="J29" s="57"/>
      <c r="K29" s="42"/>
      <c r="L29" s="16">
        <f>+'APR WKSHT'!J53</f>
        <v>-149314.57</v>
      </c>
      <c r="M29" s="33"/>
      <c r="N29" s="57"/>
    </row>
    <row r="30" spans="1:15">
      <c r="A30" s="30"/>
      <c r="B30" s="32"/>
      <c r="C30" s="31" t="str">
        <f>+JUL!C30</f>
        <v>REFUND OF PRIOR YEAR DISBURSEMENTS</v>
      </c>
      <c r="D30" s="32"/>
      <c r="E30" s="32"/>
      <c r="F30" s="35"/>
      <c r="G30" s="42"/>
      <c r="H30" s="16">
        <f>+'APR WKSHT'!G54</f>
        <v>0</v>
      </c>
      <c r="I30" s="33"/>
      <c r="J30" s="57"/>
      <c r="K30" s="42"/>
      <c r="L30" s="16">
        <f>+'APR WKSHT'!J54</f>
        <v>0</v>
      </c>
      <c r="M30" s="33"/>
      <c r="N30" s="57"/>
    </row>
    <row r="31" spans="1:15">
      <c r="A31" s="30"/>
      <c r="B31" s="32"/>
      <c r="C31" s="31" t="str">
        <f>+JUL!C31</f>
        <v>UNHONORED CHECKS</v>
      </c>
      <c r="D31" s="32"/>
      <c r="E31" s="32"/>
      <c r="F31" s="35"/>
      <c r="G31" s="42"/>
      <c r="H31" s="16">
        <f>+'APR WKSHT'!G55</f>
        <v>0</v>
      </c>
      <c r="I31" s="33"/>
      <c r="J31" s="57"/>
      <c r="K31" s="42"/>
      <c r="L31" s="16">
        <f>+'APR WKSHT'!J55</f>
        <v>0</v>
      </c>
      <c r="M31" s="33"/>
      <c r="N31" s="57"/>
    </row>
    <row r="32" spans="1:15">
      <c r="A32" s="30"/>
      <c r="B32" s="32"/>
      <c r="C32" s="31" t="str">
        <f>+JUL!C32</f>
        <v>RECEIPT ADJUSTMENTS</v>
      </c>
      <c r="D32" s="32"/>
      <c r="E32" s="32"/>
      <c r="F32" s="35"/>
      <c r="G32" s="42"/>
      <c r="H32" s="11">
        <f>+'APR WKSHT'!G56</f>
        <v>0</v>
      </c>
      <c r="I32" s="16">
        <f>SUM(H27:H32)</f>
        <v>9994907.3599999994</v>
      </c>
      <c r="J32" s="35"/>
      <c r="K32" s="42"/>
      <c r="L32" s="11">
        <f>+'APR WKSHT'!J56</f>
        <v>642183.63</v>
      </c>
      <c r="M32" s="16">
        <f>SUM(L27:L32)</f>
        <v>93117390.030000001</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+'APR WKSHT'!H58</f>
        <v>424306.1</v>
      </c>
      <c r="J34" s="35"/>
      <c r="K34" s="42"/>
      <c r="L34" s="16"/>
      <c r="M34" s="16">
        <f>+'APR WKSHT'!K58</f>
        <v>3600584.4899999998</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+'APR WKSHT'!H60</f>
        <v>6821.25</v>
      </c>
      <c r="J36" s="35"/>
      <c r="K36" s="42"/>
      <c r="L36" s="16"/>
      <c r="M36" s="16">
        <f>+'APR WKSHT'!K60</f>
        <v>12931.36</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+'APR WKSHT'!H64</f>
        <v>6655863.9900000095</v>
      </c>
      <c r="J38" s="35"/>
      <c r="K38" s="42"/>
      <c r="L38" s="16"/>
      <c r="M38" s="11">
        <f>+'APR WKSHT'!K64</f>
        <v>68533403.960000008</v>
      </c>
      <c r="N38" s="35"/>
    </row>
    <row r="39" spans="1:15">
      <c r="A39" s="30"/>
      <c r="B39" s="32"/>
      <c r="C39" s="32"/>
      <c r="D39" s="32"/>
      <c r="E39" s="32"/>
      <c r="F39" s="35"/>
      <c r="G39" s="42"/>
      <c r="H39" s="16"/>
      <c r="I39" s="16"/>
      <c r="J39" s="35"/>
      <c r="K39" s="42"/>
      <c r="L39" s="16"/>
      <c r="M39" s="16"/>
      <c r="N39" s="35"/>
    </row>
    <row r="40" spans="1:15" ht="13.5" thickBot="1">
      <c r="A40" s="53"/>
      <c r="B40" s="31" t="str">
        <f>+'APR WKSHT'!B66</f>
        <v>CASH BALANCE APRIL 30, 2024</v>
      </c>
      <c r="C40" s="32"/>
      <c r="D40" s="32"/>
      <c r="E40" s="32"/>
      <c r="F40" s="35"/>
      <c r="G40" s="42"/>
      <c r="H40" s="16"/>
      <c r="I40" s="21">
        <f>+I24+I32+I34+I36-I38</f>
        <v>102069140.56</v>
      </c>
      <c r="J40" s="56"/>
      <c r="K40" s="42"/>
      <c r="L40" s="16"/>
      <c r="M40" s="21">
        <f>+M22+M32+M34+M36-M38</f>
        <v>102069140.56000003</v>
      </c>
      <c r="N40" s="56"/>
      <c r="O40" s="2">
        <f>+I40-'APR WKSHT'!H66</f>
        <v>0</v>
      </c>
    </row>
    <row r="41" spans="1:15" ht="13.5" thickBot="1">
      <c r="A41" s="38"/>
      <c r="B41" s="39"/>
      <c r="C41" s="39"/>
      <c r="D41" s="39"/>
      <c r="E41" s="39"/>
      <c r="F41" s="40"/>
      <c r="G41" s="43"/>
      <c r="H41" s="14"/>
      <c r="I41" s="14"/>
      <c r="J41" s="40"/>
      <c r="K41" s="43"/>
      <c r="L41" s="14"/>
      <c r="M41" s="14"/>
      <c r="N41" s="40"/>
      <c r="O41" s="2">
        <f>+M40-'APR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+'APR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MARCH 31, 2024</v>
      </c>
      <c r="C48" s="32"/>
      <c r="D48" s="32"/>
      <c r="E48" s="32"/>
      <c r="F48" s="61"/>
      <c r="G48" s="42"/>
      <c r="H48" s="16"/>
      <c r="I48" s="20">
        <f>+'APR WKSHT'!H71</f>
        <v>44611640.859999992</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+'APR WKSHT'!G76</f>
        <v>5382420.8300000001</v>
      </c>
      <c r="I51" s="33"/>
      <c r="J51" s="57"/>
      <c r="K51" s="42"/>
      <c r="L51" s="20">
        <f>+'APR WKSHT'!J76</f>
        <v>48367288.810000002</v>
      </c>
      <c r="M51" s="33"/>
      <c r="N51" s="57"/>
    </row>
    <row r="52" spans="1:15">
      <c r="A52" s="30"/>
      <c r="B52" s="31"/>
      <c r="C52" s="31" t="str">
        <f>+JUL!C52</f>
        <v>REVENUE REFUNDS:  PRIOR YEAR</v>
      </c>
      <c r="D52" s="32"/>
      <c r="E52" s="32"/>
      <c r="F52" s="61"/>
      <c r="G52" s="42"/>
      <c r="H52" s="16">
        <f>+'APR WKSHT'!G77</f>
        <v>0</v>
      </c>
      <c r="I52" s="33"/>
      <c r="J52" s="57"/>
      <c r="K52" s="42"/>
      <c r="L52" s="16">
        <f>+'APR WKSHT'!J77</f>
        <v>0</v>
      </c>
      <c r="M52" s="33"/>
      <c r="N52" s="57"/>
    </row>
    <row r="53" spans="1:15">
      <c r="A53" s="30"/>
      <c r="B53" s="32"/>
      <c r="C53" s="31" t="str">
        <f>+JUL!C53</f>
        <v>REVENUE REFUNDS:  CURRENT YEAR</v>
      </c>
      <c r="D53" s="32"/>
      <c r="E53" s="32"/>
      <c r="F53" s="61"/>
      <c r="G53" s="42"/>
      <c r="H53" s="16">
        <f>+'APR WKSHT'!G78</f>
        <v>-27365.32</v>
      </c>
      <c r="I53" s="33"/>
      <c r="J53" s="57"/>
      <c r="K53" s="42"/>
      <c r="L53" s="16">
        <f>+'APR WKSHT'!J78</f>
        <v>-42114.35</v>
      </c>
      <c r="M53" s="33"/>
      <c r="N53" s="57"/>
    </row>
    <row r="54" spans="1:15">
      <c r="A54" s="30"/>
      <c r="B54" s="31"/>
      <c r="C54" s="31" t="str">
        <f>+JUL!C54</f>
        <v>REFUND OF PRIOR YEAR DISBURSEMENTS</v>
      </c>
      <c r="D54" s="32"/>
      <c r="E54" s="32"/>
      <c r="F54" s="61"/>
      <c r="G54" s="42"/>
      <c r="H54" s="16">
        <f>+'APR WKSHT'!G79</f>
        <v>0</v>
      </c>
      <c r="I54" s="33"/>
      <c r="J54" s="57"/>
      <c r="K54" s="42"/>
      <c r="L54" s="16">
        <f>+'APR WKSHT'!J79</f>
        <v>0</v>
      </c>
      <c r="M54" s="33"/>
      <c r="N54" s="57"/>
    </row>
    <row r="55" spans="1:15">
      <c r="A55" s="30"/>
      <c r="B55" s="32"/>
      <c r="C55" s="31" t="str">
        <f>+JUL!C55</f>
        <v>UNHONORED CHECKS</v>
      </c>
      <c r="D55" s="32"/>
      <c r="E55" s="32"/>
      <c r="F55" s="61"/>
      <c r="G55" s="42"/>
      <c r="H55" s="16">
        <f>+'APR WKSHT'!G80</f>
        <v>0</v>
      </c>
      <c r="I55" s="33"/>
      <c r="J55" s="57"/>
      <c r="K55" s="42"/>
      <c r="L55" s="16">
        <f>+'APR WKSHT'!J80</f>
        <v>0</v>
      </c>
      <c r="M55" s="33"/>
      <c r="N55" s="57"/>
    </row>
    <row r="56" spans="1:15">
      <c r="A56" s="30"/>
      <c r="B56" s="32"/>
      <c r="C56" s="31" t="str">
        <f>+JUL!C56</f>
        <v>RECEIPT ADJUSTMENTS</v>
      </c>
      <c r="D56" s="32"/>
      <c r="E56" s="32"/>
      <c r="F56" s="61"/>
      <c r="G56" s="42"/>
      <c r="H56" s="11">
        <f>+'APR WKSHT'!G81</f>
        <v>-33374.410000000003</v>
      </c>
      <c r="I56" s="16">
        <f>SUM(H51:H56)</f>
        <v>5321681.0999999996</v>
      </c>
      <c r="J56" s="35"/>
      <c r="K56" s="42"/>
      <c r="L56" s="11">
        <f>+'APR WKSHT'!J81</f>
        <v>-639352.69999999995</v>
      </c>
      <c r="M56" s="16">
        <f>SUM(L51:L56)</f>
        <v>47685821.759999998</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+'APR WKSHT'!H83</f>
        <v>57493.97</v>
      </c>
      <c r="J58" s="35"/>
      <c r="K58" s="42"/>
      <c r="L58" s="16"/>
      <c r="M58" s="16">
        <f>+'APR WKSHT'!K83</f>
        <v>1554763.35</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+'APR WKSHT'!H85</f>
        <v>0</v>
      </c>
      <c r="J60" s="35"/>
      <c r="K60" s="42"/>
      <c r="L60" s="16"/>
      <c r="M60" s="16">
        <f>+'APR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+'APR WKSHT'!H87</f>
        <v>1598352.3699999973</v>
      </c>
      <c r="J62" s="35"/>
      <c r="K62" s="42"/>
      <c r="L62" s="16"/>
      <c r="M62" s="11">
        <f>+'APR WKSHT'!K87</f>
        <v>39461106.759999998</v>
      </c>
      <c r="N62" s="35"/>
    </row>
    <row r="63" spans="1:15">
      <c r="A63" s="30"/>
      <c r="B63" s="32"/>
      <c r="C63" s="32"/>
      <c r="D63" s="32"/>
      <c r="E63" s="32"/>
      <c r="F63" s="61"/>
      <c r="G63" s="42"/>
      <c r="H63" s="16"/>
      <c r="I63" s="16"/>
      <c r="J63" s="35"/>
      <c r="K63" s="42"/>
      <c r="L63" s="16"/>
      <c r="M63" s="16"/>
      <c r="N63" s="35"/>
      <c r="O63" s="2">
        <f>+I64-'APR WKSHT'!H89</f>
        <v>0</v>
      </c>
    </row>
    <row r="64" spans="1:15" ht="13.5" thickBot="1">
      <c r="A64" s="30">
        <f>+A38</f>
        <v>0</v>
      </c>
      <c r="B64" s="31" t="str">
        <f>+B40</f>
        <v>CASH BALANCE APRIL 30, 2024</v>
      </c>
      <c r="C64" s="32"/>
      <c r="D64" s="32"/>
      <c r="E64" s="32"/>
      <c r="F64" s="61"/>
      <c r="G64" s="42"/>
      <c r="H64" s="16"/>
      <c r="I64" s="21">
        <f>+I48+I56+I58+I60-I62</f>
        <v>48392463.559999995</v>
      </c>
      <c r="J64" s="56"/>
      <c r="K64" s="42"/>
      <c r="L64" s="16"/>
      <c r="M64" s="21">
        <f>+M46+M56+M58+M60-M62</f>
        <v>48392463.559999995</v>
      </c>
      <c r="N64" s="56"/>
      <c r="O64" s="2">
        <f>+M64-'APR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66"/>
  <sheetViews>
    <sheetView topLeftCell="A37" workbookViewId="0">
      <selection activeCell="J16" sqref="J16"/>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3" width="14.7109375" style="2" customWidth="1"/>
    <col min="14" max="14" width="1.7109375" style="2" customWidth="1"/>
    <col min="15" max="15" width="14.42578125" style="2" hidden="1" customWidth="1"/>
    <col min="16" max="16384" width="9.140625" style="2"/>
  </cols>
  <sheetData>
    <row r="1" spans="1:16" ht="15">
      <c r="A1" s="58" t="str">
        <f>+'JUL WKSHT'!A1</f>
        <v>COMMONWEALTH OF KENTUCKY</v>
      </c>
      <c r="B1" s="3"/>
      <c r="C1" s="3"/>
      <c r="D1" s="3"/>
      <c r="E1" s="3"/>
      <c r="F1" s="3"/>
      <c r="G1" s="3"/>
      <c r="H1" s="3"/>
      <c r="I1" s="3"/>
      <c r="J1" s="3"/>
      <c r="K1" s="3"/>
      <c r="L1" s="3"/>
      <c r="M1" s="3"/>
      <c r="N1" s="3"/>
    </row>
    <row r="2" spans="1:16" ht="15">
      <c r="A2" s="59" t="str">
        <f>+'JUL WKSHT'!A2</f>
        <v>LAW ENFORCEMENT FOUNDATION AND FIREFIGHTERS FOUNDATION FUNDS</v>
      </c>
      <c r="B2" s="3"/>
      <c r="C2" s="3"/>
      <c r="D2" s="3"/>
      <c r="E2" s="3"/>
      <c r="F2" s="3"/>
      <c r="G2" s="3"/>
      <c r="H2" s="3"/>
      <c r="I2" s="3"/>
      <c r="J2" s="3"/>
      <c r="K2" s="3"/>
      <c r="L2" s="3"/>
      <c r="M2" s="3"/>
      <c r="N2" s="3"/>
    </row>
    <row r="3" spans="1:16" ht="15">
      <c r="A3" s="59" t="s">
        <v>22</v>
      </c>
      <c r="B3" s="3"/>
      <c r="C3" s="3"/>
      <c r="D3" s="3"/>
      <c r="E3" s="3"/>
      <c r="F3" s="3"/>
      <c r="G3" s="3"/>
      <c r="H3" s="3"/>
      <c r="I3" s="3"/>
      <c r="J3" s="3"/>
      <c r="K3" s="3"/>
      <c r="L3" s="3"/>
      <c r="M3" s="3"/>
      <c r="N3" s="3"/>
    </row>
    <row r="4" spans="1:16" ht="15">
      <c r="A4" s="59" t="str">
        <f>+'JUL WKSHT'!A4</f>
        <v>FOR THE PERIOD JULY 1, 2023 - JULY 31, 2023 (Updated 8/18/2023)</v>
      </c>
      <c r="B4" s="3"/>
      <c r="C4" s="3"/>
      <c r="D4" s="3"/>
      <c r="E4" s="3"/>
      <c r="F4" s="3"/>
      <c r="G4" s="3"/>
      <c r="H4" s="3"/>
      <c r="I4" s="3"/>
      <c r="J4" s="3"/>
      <c r="K4" s="3"/>
      <c r="L4" s="3"/>
      <c r="M4" s="3"/>
      <c r="N4" s="3"/>
    </row>
    <row r="5" spans="1:16" ht="4.9000000000000004" customHeight="1" thickBot="1">
      <c r="A5" s="17"/>
      <c r="B5" s="17"/>
      <c r="C5" s="17"/>
      <c r="D5" s="17"/>
      <c r="E5" s="17"/>
      <c r="F5" s="17"/>
      <c r="G5" s="17"/>
      <c r="H5" s="17"/>
      <c r="I5" s="17"/>
      <c r="J5" s="17"/>
      <c r="K5" s="17"/>
      <c r="L5" s="17"/>
      <c r="M5" s="17"/>
      <c r="N5" s="17"/>
    </row>
    <row r="6" spans="1:16" ht="13.5" thickBot="1"/>
    <row r="7" spans="1:16" ht="13.5" thickBot="1">
      <c r="A7" s="45" t="s">
        <v>23</v>
      </c>
      <c r="B7" s="46"/>
      <c r="C7" s="46"/>
      <c r="D7" s="46"/>
      <c r="E7" s="27"/>
      <c r="F7" s="29"/>
      <c r="G7" s="16"/>
      <c r="H7"/>
      <c r="I7"/>
      <c r="J7"/>
      <c r="K7"/>
      <c r="L7"/>
      <c r="M7"/>
      <c r="N7"/>
      <c r="O7" s="15" t="s">
        <v>5</v>
      </c>
    </row>
    <row r="8" spans="1:16" ht="13.5" thickBot="1">
      <c r="A8" s="51"/>
      <c r="B8" s="52"/>
      <c r="C8" s="52"/>
      <c r="D8" s="52"/>
      <c r="E8" s="39"/>
      <c r="F8" s="40"/>
      <c r="G8" s="24" t="s">
        <v>3</v>
      </c>
      <c r="H8" s="60"/>
      <c r="I8" s="60"/>
      <c r="J8" s="25"/>
      <c r="K8" s="24" t="s">
        <v>4</v>
      </c>
      <c r="L8" s="60"/>
      <c r="M8" s="60"/>
      <c r="N8" s="25"/>
      <c r="O8" s="23"/>
    </row>
    <row r="9" spans="1:16">
      <c r="A9" s="26"/>
      <c r="B9" s="27"/>
      <c r="C9" s="27"/>
      <c r="D9" s="27"/>
      <c r="E9" s="27"/>
      <c r="F9" s="29"/>
      <c r="G9" s="41"/>
      <c r="H9" s="28"/>
      <c r="I9" s="28"/>
      <c r="J9" s="29"/>
      <c r="K9" s="41"/>
      <c r="L9" s="28"/>
      <c r="M9" s="28"/>
      <c r="N9" s="29"/>
    </row>
    <row r="10" spans="1:16">
      <c r="A10" s="53"/>
      <c r="B10" s="31" t="s">
        <v>24</v>
      </c>
      <c r="C10" s="31"/>
      <c r="D10" s="32"/>
      <c r="E10" s="33"/>
      <c r="F10" s="35"/>
      <c r="G10" s="42"/>
      <c r="H10" s="16"/>
      <c r="I10" s="13"/>
      <c r="J10" s="34"/>
      <c r="K10" s="42"/>
      <c r="L10" s="16"/>
      <c r="M10" s="13"/>
      <c r="N10" s="34"/>
    </row>
    <row r="11" spans="1:16">
      <c r="A11" s="53"/>
      <c r="B11" s="31"/>
      <c r="C11" s="31" t="str">
        <f>+'JUL WKSHT'!C10</f>
        <v>VOLUNTEER FIRE DEPARTMENT AID</v>
      </c>
      <c r="D11" s="32"/>
      <c r="E11" s="33"/>
      <c r="F11" s="35"/>
      <c r="G11" s="42"/>
      <c r="H11" s="13">
        <f>+'JUL WKSHT'!H11</f>
        <v>2249367.17</v>
      </c>
      <c r="I11" s="13"/>
      <c r="J11" s="34"/>
      <c r="K11" s="42"/>
      <c r="L11" s="13">
        <f>+'JUL WKSHT'!K11</f>
        <v>2249367.17</v>
      </c>
      <c r="M11" s="13"/>
      <c r="N11" s="34"/>
    </row>
    <row r="12" spans="1:16">
      <c r="A12" s="53"/>
      <c r="B12" s="31"/>
      <c r="C12" s="31" t="str">
        <f>+'JUL WKSHT'!C12</f>
        <v>LAW ENFORCEMENT AND FIREFIGHTERS FUND</v>
      </c>
      <c r="D12" s="32"/>
      <c r="E12" s="33"/>
      <c r="F12" s="35"/>
      <c r="G12" s="42"/>
      <c r="H12" s="11">
        <f>+'JUL WKSHT'!H14</f>
        <v>11634117.199999999</v>
      </c>
      <c r="I12" s="13">
        <f>SUM(H11:H12)</f>
        <v>13883484.369999999</v>
      </c>
      <c r="J12" s="34"/>
      <c r="K12" s="42"/>
      <c r="L12" s="11">
        <f>+'JUL WKSHT'!K14</f>
        <v>11634117.199999999</v>
      </c>
      <c r="M12" s="13">
        <f>SUM(L11:L12)</f>
        <v>13883484.369999999</v>
      </c>
      <c r="N12" s="34"/>
    </row>
    <row r="13" spans="1:16">
      <c r="A13" s="53"/>
      <c r="B13" s="31" t="s">
        <v>12</v>
      </c>
      <c r="C13" s="33"/>
      <c r="D13" s="31"/>
      <c r="E13" s="33"/>
      <c r="F13" s="35"/>
      <c r="G13" s="42"/>
      <c r="H13" s="16"/>
      <c r="I13" s="16">
        <f>+'JUL WKSHT'!H21</f>
        <v>-542.70000000000005</v>
      </c>
      <c r="J13" s="35"/>
      <c r="K13" s="42"/>
      <c r="L13" s="16"/>
      <c r="M13" s="16">
        <f>+'JUL WKSHT'!K21</f>
        <v>-542.70000000000005</v>
      </c>
      <c r="N13" s="35"/>
    </row>
    <row r="14" spans="1:16">
      <c r="A14" s="30"/>
      <c r="B14" s="32" t="s">
        <v>13</v>
      </c>
      <c r="C14" s="33"/>
      <c r="D14" s="32"/>
      <c r="E14" s="33"/>
      <c r="F14" s="35"/>
      <c r="G14" s="42"/>
      <c r="H14" s="16"/>
      <c r="I14" s="16">
        <f>+'JUL WKSHT'!H25</f>
        <v>0</v>
      </c>
      <c r="J14" s="35"/>
      <c r="K14" s="42"/>
      <c r="L14" s="16"/>
      <c r="M14" s="16">
        <f>+'JUL WKSHT'!K25</f>
        <v>0</v>
      </c>
      <c r="N14" s="35"/>
    </row>
    <row r="15" spans="1:16">
      <c r="A15" s="30"/>
      <c r="B15" s="32" t="s">
        <v>14</v>
      </c>
      <c r="C15" s="33"/>
      <c r="D15" s="32"/>
      <c r="E15" s="33"/>
      <c r="F15" s="35"/>
      <c r="G15" s="42"/>
      <c r="H15" s="16"/>
      <c r="I15" s="36">
        <f>+'JUL WKSHT'!H29</f>
        <v>-25.4</v>
      </c>
      <c r="J15" s="37"/>
      <c r="K15" s="42"/>
      <c r="L15" s="16"/>
      <c r="M15" s="36">
        <f>+'JUL WKSHT'!K29</f>
        <v>-25.4</v>
      </c>
      <c r="N15" s="37"/>
    </row>
    <row r="16" spans="1:16" ht="13.5" thickBot="1">
      <c r="A16" s="50"/>
      <c r="B16" s="33"/>
      <c r="C16" s="31" t="s">
        <v>15</v>
      </c>
      <c r="D16" s="33"/>
      <c r="E16" s="33"/>
      <c r="F16" s="35"/>
      <c r="G16" s="42"/>
      <c r="H16" s="16"/>
      <c r="I16" s="22">
        <f>SUM(I10:I15)</f>
        <v>13882916.27</v>
      </c>
      <c r="J16" s="56"/>
      <c r="K16" s="42"/>
      <c r="L16" s="16"/>
      <c r="M16" s="22">
        <f>SUM(M10:M15)</f>
        <v>13882916.27</v>
      </c>
      <c r="N16" s="56"/>
      <c r="O16" s="2">
        <f>+I16-'JUL WKSHT'!H30</f>
        <v>0</v>
      </c>
      <c r="P16" s="2" t="s">
        <v>85</v>
      </c>
    </row>
    <row r="17" spans="1:15" ht="13.5" thickBot="1">
      <c r="A17" s="38"/>
      <c r="B17" s="39"/>
      <c r="C17" s="39"/>
      <c r="D17" s="39"/>
      <c r="E17" s="39"/>
      <c r="F17" s="40"/>
      <c r="G17" s="43"/>
      <c r="H17" s="14"/>
      <c r="I17" s="14"/>
      <c r="J17" s="40"/>
      <c r="K17" s="43"/>
      <c r="L17" s="14"/>
      <c r="M17" s="14"/>
      <c r="N17" s="40"/>
      <c r="O17" s="2">
        <f>+M16-'JUL WKSHT'!K30</f>
        <v>0</v>
      </c>
    </row>
    <row r="18" spans="1:15" ht="13.5" thickBot="1">
      <c r="E18" s="7"/>
    </row>
    <row r="19" spans="1:15" ht="13.5" thickBot="1">
      <c r="A19" s="45" t="s">
        <v>25</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2" t="str">
        <f>+'JUL WKSHT'!B46</f>
        <v>BALANCE FORWARDED FROM FISCAL YEAR 2023</v>
      </c>
      <c r="C22" s="33"/>
      <c r="D22" s="32"/>
      <c r="E22" s="32"/>
      <c r="F22" s="35"/>
      <c r="G22" s="42"/>
      <c r="H22" s="16"/>
      <c r="I22" s="16"/>
      <c r="J22" s="35"/>
      <c r="K22" s="42"/>
      <c r="L22" s="16"/>
      <c r="M22" s="13">
        <f>+'JUL WKSHT'!K46</f>
        <v>73871638.640000001</v>
      </c>
      <c r="N22" s="35"/>
    </row>
    <row r="23" spans="1:15">
      <c r="A23" s="49"/>
      <c r="B23" s="44"/>
      <c r="C23" s="32"/>
      <c r="D23" s="32"/>
      <c r="E23" s="32"/>
      <c r="F23" s="35"/>
      <c r="G23" s="42"/>
      <c r="H23" s="16"/>
      <c r="I23" s="16"/>
      <c r="J23" s="35"/>
      <c r="K23" s="42"/>
      <c r="L23" s="16"/>
      <c r="M23" s="16"/>
      <c r="N23" s="35"/>
    </row>
    <row r="24" spans="1:15">
      <c r="A24" s="53"/>
      <c r="B24" s="31" t="str">
        <f>+'JUL WKSHT'!B48</f>
        <v>CASH BALANCE JUNE 30, 2023</v>
      </c>
      <c r="C24" s="33"/>
      <c r="D24" s="32"/>
      <c r="E24" s="32"/>
      <c r="F24" s="35"/>
      <c r="G24" s="42"/>
      <c r="H24" s="16"/>
      <c r="I24" s="20">
        <f>+'JUL WKSHT'!H48</f>
        <v>73871638.640000001</v>
      </c>
      <c r="J24" s="56"/>
      <c r="K24" s="42"/>
      <c r="L24" s="16"/>
      <c r="M24" s="20"/>
      <c r="N24" s="56"/>
    </row>
    <row r="25" spans="1:15">
      <c r="A25" s="30"/>
      <c r="B25" s="32"/>
      <c r="C25" s="31"/>
      <c r="D25" s="32"/>
      <c r="E25" s="32"/>
      <c r="F25" s="35"/>
      <c r="G25" s="42"/>
      <c r="H25" s="16"/>
      <c r="I25" s="20"/>
      <c r="J25" s="56"/>
      <c r="K25" s="42"/>
      <c r="L25" s="16"/>
      <c r="M25" s="20"/>
      <c r="N25" s="56"/>
    </row>
    <row r="26" spans="1:15">
      <c r="A26" s="54"/>
      <c r="B26" s="55" t="s">
        <v>38</v>
      </c>
      <c r="C26" s="32"/>
      <c r="D26" s="32"/>
      <c r="E26" s="32"/>
      <c r="F26" s="35"/>
      <c r="G26" s="42"/>
      <c r="H26" s="16"/>
      <c r="I26" s="16"/>
      <c r="J26" s="35"/>
      <c r="K26" s="42"/>
      <c r="L26" s="16"/>
      <c r="M26" s="16"/>
      <c r="N26" s="35"/>
    </row>
    <row r="27" spans="1:15">
      <c r="A27" s="30"/>
      <c r="B27" s="32"/>
      <c r="C27" s="55" t="s">
        <v>26</v>
      </c>
      <c r="D27" s="32"/>
      <c r="E27" s="32"/>
      <c r="F27" s="35"/>
      <c r="G27" s="42"/>
      <c r="H27" s="20">
        <f>+'JUL WKSHT'!G51</f>
        <v>0</v>
      </c>
      <c r="I27" s="33"/>
      <c r="J27" s="57"/>
      <c r="K27" s="42" t="s">
        <v>42</v>
      </c>
      <c r="L27" s="20">
        <f t="shared" ref="L27:L32" si="0">+H27</f>
        <v>0</v>
      </c>
      <c r="M27" s="33"/>
      <c r="N27" s="57"/>
      <c r="O27" s="149"/>
    </row>
    <row r="28" spans="1:15">
      <c r="A28" s="30"/>
      <c r="B28" s="32"/>
      <c r="C28" s="31" t="s">
        <v>17</v>
      </c>
      <c r="D28" s="32"/>
      <c r="E28" s="32"/>
      <c r="F28" s="35"/>
      <c r="G28" s="42"/>
      <c r="H28" s="16">
        <f>+'JUL WKSHT'!G52</f>
        <v>0</v>
      </c>
      <c r="I28" s="33"/>
      <c r="J28" s="57"/>
      <c r="K28" s="42"/>
      <c r="L28" s="16">
        <f t="shared" si="0"/>
        <v>0</v>
      </c>
      <c r="M28" s="33"/>
      <c r="N28" s="57"/>
      <c r="O28" s="150"/>
    </row>
    <row r="29" spans="1:15">
      <c r="A29" s="30"/>
      <c r="B29" s="32"/>
      <c r="C29" s="32" t="s">
        <v>18</v>
      </c>
      <c r="D29" s="32"/>
      <c r="E29" s="32"/>
      <c r="F29" s="35"/>
      <c r="G29" s="42"/>
      <c r="H29" s="16">
        <f>+'JUL WKSHT'!G53</f>
        <v>0</v>
      </c>
      <c r="I29" s="33"/>
      <c r="J29" s="57"/>
      <c r="K29" s="42"/>
      <c r="L29" s="16">
        <f t="shared" si="0"/>
        <v>0</v>
      </c>
      <c r="M29" s="33"/>
      <c r="N29" s="57"/>
      <c r="O29" s="150"/>
    </row>
    <row r="30" spans="1:15">
      <c r="A30" s="30"/>
      <c r="B30" s="32"/>
      <c r="C30" s="31" t="s">
        <v>27</v>
      </c>
      <c r="D30" s="32"/>
      <c r="E30" s="32"/>
      <c r="F30" s="35"/>
      <c r="G30" s="42"/>
      <c r="H30" s="16">
        <f>+'JUL WKSHT'!G54</f>
        <v>0</v>
      </c>
      <c r="I30" s="33"/>
      <c r="J30" s="57"/>
      <c r="K30" s="42"/>
      <c r="L30" s="16">
        <f t="shared" si="0"/>
        <v>0</v>
      </c>
      <c r="M30" s="33"/>
      <c r="N30" s="57"/>
      <c r="O30" s="150"/>
    </row>
    <row r="31" spans="1:15">
      <c r="A31" s="30"/>
      <c r="B31" s="32"/>
      <c r="C31" s="32" t="s">
        <v>13</v>
      </c>
      <c r="D31" s="32"/>
      <c r="E31" s="32"/>
      <c r="F31" s="35"/>
      <c r="G31" s="42"/>
      <c r="H31" s="16">
        <f>+'JUL WKSHT'!G55</f>
        <v>0</v>
      </c>
      <c r="I31" s="33"/>
      <c r="J31" s="57"/>
      <c r="K31" s="42"/>
      <c r="L31" s="16">
        <f t="shared" si="0"/>
        <v>0</v>
      </c>
      <c r="M31" s="33"/>
      <c r="N31" s="57"/>
      <c r="O31" s="150"/>
    </row>
    <row r="32" spans="1:15">
      <c r="A32" s="30"/>
      <c r="B32" s="32"/>
      <c r="C32" s="32" t="s">
        <v>14</v>
      </c>
      <c r="D32" s="32"/>
      <c r="E32" s="32"/>
      <c r="F32" s="35"/>
      <c r="G32" s="42"/>
      <c r="H32" s="11">
        <f>+'JUL WKSHT'!G56</f>
        <v>0</v>
      </c>
      <c r="I32" s="16">
        <f>SUM(H27:H32)</f>
        <v>0</v>
      </c>
      <c r="J32" s="35"/>
      <c r="K32" s="42"/>
      <c r="L32" s="11">
        <f t="shared" si="0"/>
        <v>0</v>
      </c>
      <c r="M32" s="16">
        <f>SUM(L27:L32)</f>
        <v>0</v>
      </c>
      <c r="N32" s="35"/>
    </row>
    <row r="33" spans="1:15">
      <c r="A33" s="30"/>
      <c r="B33" s="32"/>
      <c r="C33" s="32"/>
      <c r="D33" s="32"/>
      <c r="E33" s="32"/>
      <c r="F33" s="35"/>
      <c r="G33" s="42"/>
      <c r="H33" s="16"/>
      <c r="I33" s="16"/>
      <c r="J33" s="35"/>
      <c r="K33" s="42"/>
      <c r="L33" s="16"/>
      <c r="M33" s="16"/>
      <c r="N33" s="35"/>
    </row>
    <row r="34" spans="1:15">
      <c r="A34" s="53"/>
      <c r="B34" s="31" t="s">
        <v>28</v>
      </c>
      <c r="C34" s="33"/>
      <c r="D34" s="32"/>
      <c r="E34" s="32"/>
      <c r="F34" s="35"/>
      <c r="G34" s="42"/>
      <c r="H34" s="16"/>
      <c r="I34" s="16">
        <f>+'JUL WKSHT'!H58</f>
        <v>282998.34000000003</v>
      </c>
      <c r="J34" s="35"/>
      <c r="K34" s="42"/>
      <c r="L34" s="16"/>
      <c r="M34" s="16">
        <f>+I34</f>
        <v>282998.34000000003</v>
      </c>
      <c r="N34" s="35"/>
    </row>
    <row r="35" spans="1:15">
      <c r="A35" s="30"/>
      <c r="B35" s="32"/>
      <c r="C35" s="32"/>
      <c r="D35" s="32"/>
      <c r="E35" s="32"/>
      <c r="F35" s="35"/>
      <c r="G35" s="42"/>
      <c r="H35" s="16"/>
      <c r="I35" s="16"/>
      <c r="J35" s="35"/>
      <c r="K35" s="42"/>
      <c r="L35" s="16"/>
      <c r="M35" s="16"/>
      <c r="N35" s="35"/>
    </row>
    <row r="36" spans="1:15">
      <c r="A36" s="30"/>
      <c r="B36" s="32" t="s">
        <v>21</v>
      </c>
      <c r="C36" s="32"/>
      <c r="D36" s="32"/>
      <c r="E36" s="32"/>
      <c r="F36" s="35"/>
      <c r="G36" s="42"/>
      <c r="H36" s="16"/>
      <c r="I36" s="16">
        <f>+'JUL WKSHT'!H60</f>
        <v>0</v>
      </c>
      <c r="J36" s="35"/>
      <c r="K36" s="42"/>
      <c r="L36" s="16"/>
      <c r="M36" s="16">
        <f>+I36</f>
        <v>0</v>
      </c>
      <c r="N36" s="35"/>
    </row>
    <row r="37" spans="1:15">
      <c r="A37" s="30"/>
      <c r="B37" s="32"/>
      <c r="C37" s="32"/>
      <c r="D37" s="32"/>
      <c r="E37" s="32"/>
      <c r="F37" s="35"/>
      <c r="G37" s="42"/>
      <c r="H37" s="16"/>
      <c r="I37" s="16"/>
      <c r="J37" s="35"/>
      <c r="K37" s="42"/>
      <c r="L37" s="16"/>
      <c r="M37" s="16"/>
      <c r="N37" s="35"/>
    </row>
    <row r="38" spans="1:15">
      <c r="A38" s="53"/>
      <c r="B38" s="31" t="s">
        <v>29</v>
      </c>
      <c r="C38" s="32"/>
      <c r="D38" s="32"/>
      <c r="E38" s="32"/>
      <c r="F38" s="35"/>
      <c r="G38" s="42"/>
      <c r="H38" s="16"/>
      <c r="I38" s="11">
        <f>+'JUL WKSHT'!H64</f>
        <v>6089196.5700000003</v>
      </c>
      <c r="J38" s="35"/>
      <c r="K38" s="42"/>
      <c r="L38" s="16"/>
      <c r="M38" s="11">
        <f>+I38</f>
        <v>6089196.5700000003</v>
      </c>
      <c r="N38" s="35"/>
    </row>
    <row r="39" spans="1:15">
      <c r="A39" s="30"/>
      <c r="B39" s="32"/>
      <c r="C39" s="32"/>
      <c r="D39" s="32"/>
      <c r="E39" s="32"/>
      <c r="F39" s="35"/>
      <c r="G39" s="42"/>
      <c r="H39" s="16"/>
      <c r="I39" s="16"/>
      <c r="J39" s="35"/>
      <c r="K39" s="42"/>
      <c r="L39" s="16"/>
      <c r="M39" s="16"/>
      <c r="N39" s="35"/>
    </row>
    <row r="40" spans="1:15" ht="13.5" thickBot="1">
      <c r="A40" s="53"/>
      <c r="B40" s="31" t="str">
        <f>+'JUL WKSHT'!B66</f>
        <v>CASH BALANCE at the end of Accounting Period 1</v>
      </c>
      <c r="C40" s="32"/>
      <c r="D40" s="32"/>
      <c r="E40" s="32"/>
      <c r="F40" s="35"/>
      <c r="G40" s="42"/>
      <c r="H40" s="16"/>
      <c r="I40" s="21">
        <f>+I24+I32+I34+I36-I38</f>
        <v>68065440.409999996</v>
      </c>
      <c r="J40" s="56"/>
      <c r="K40" s="42"/>
      <c r="L40" s="16"/>
      <c r="M40" s="21">
        <f>+M22+M32+M34+M36-M38</f>
        <v>68065440.409999996</v>
      </c>
      <c r="N40" s="56"/>
      <c r="O40" s="2">
        <f>+I40-'JUL WKSHT'!H66</f>
        <v>0</v>
      </c>
    </row>
    <row r="41" spans="1:15" ht="13.5" thickBot="1">
      <c r="A41" s="38"/>
      <c r="B41" s="39"/>
      <c r="C41" s="39"/>
      <c r="D41" s="39"/>
      <c r="E41" s="39"/>
      <c r="F41" s="40"/>
      <c r="G41" s="43"/>
      <c r="H41" s="14"/>
      <c r="I41" s="14"/>
      <c r="J41" s="40"/>
      <c r="K41" s="43"/>
      <c r="L41" s="14"/>
      <c r="M41" s="14"/>
      <c r="N41" s="40"/>
      <c r="O41" s="2">
        <f>+M40-'JUL WKSHT'!K66</f>
        <v>0</v>
      </c>
    </row>
    <row r="42" spans="1:15" ht="13.5" thickBot="1"/>
    <row r="43" spans="1:15" ht="13.5" thickBot="1">
      <c r="A43" s="45" t="s">
        <v>30</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68" t="str">
        <f>+B22</f>
        <v>BALANCE FORWARDED FROM FISCAL YEAR 2023</v>
      </c>
      <c r="C46" s="32"/>
      <c r="D46" s="32"/>
      <c r="E46" s="32"/>
      <c r="F46" s="35"/>
      <c r="G46" s="42"/>
      <c r="H46" s="16"/>
      <c r="I46" s="16"/>
      <c r="J46" s="35"/>
      <c r="K46" s="42"/>
      <c r="L46" s="16"/>
      <c r="M46" s="13">
        <f>+'JUL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JUNE 30, 2023</v>
      </c>
      <c r="C48" s="32"/>
      <c r="D48" s="32"/>
      <c r="E48" s="32"/>
      <c r="F48" s="61"/>
      <c r="G48" s="42"/>
      <c r="H48" s="16"/>
      <c r="I48" s="20">
        <f>+'JUL WKSHT'!H71</f>
        <v>38612985.210000001</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2" t="str">
        <f>+B26</f>
        <v>REVENUE DISTRIBUTION INCOME:</v>
      </c>
      <c r="C50" s="62"/>
      <c r="D50" s="32"/>
      <c r="E50" s="32"/>
      <c r="F50" s="61"/>
      <c r="G50" s="42"/>
      <c r="H50" s="16"/>
      <c r="I50" s="16"/>
      <c r="J50" s="35"/>
      <c r="K50" s="42"/>
      <c r="L50" s="16"/>
      <c r="M50" s="16"/>
      <c r="N50" s="35"/>
    </row>
    <row r="51" spans="1:15">
      <c r="A51" s="30"/>
      <c r="B51" s="31"/>
      <c r="C51" s="32" t="str">
        <f t="shared" ref="C51:C56" si="1">+C27</f>
        <v>REVENUE DISTRIBUTION</v>
      </c>
      <c r="D51" s="32"/>
      <c r="E51" s="32"/>
      <c r="F51" s="61"/>
      <c r="G51" s="42" t="s">
        <v>42</v>
      </c>
      <c r="H51" s="20">
        <f>+'JUL WKSHT'!G76</f>
        <v>0</v>
      </c>
      <c r="I51" s="33"/>
      <c r="J51" s="57"/>
      <c r="K51" s="42" t="s">
        <v>42</v>
      </c>
      <c r="L51" s="20">
        <f t="shared" ref="L51:L56" si="2">+H51</f>
        <v>0</v>
      </c>
      <c r="M51" s="33"/>
      <c r="N51" s="57"/>
    </row>
    <row r="52" spans="1:15">
      <c r="A52" s="30"/>
      <c r="B52" s="31"/>
      <c r="C52" s="32" t="str">
        <f t="shared" si="1"/>
        <v>REVENUE REFUNDS:  PRIOR YEAR</v>
      </c>
      <c r="D52" s="32"/>
      <c r="E52" s="32"/>
      <c r="F52" s="61"/>
      <c r="G52" s="42"/>
      <c r="H52" s="16">
        <f>+'JUL WKSHT'!G77</f>
        <v>0</v>
      </c>
      <c r="I52" s="33"/>
      <c r="J52" s="57"/>
      <c r="K52" s="42"/>
      <c r="L52" s="16">
        <f t="shared" si="2"/>
        <v>0</v>
      </c>
      <c r="M52" s="33"/>
      <c r="N52" s="57"/>
    </row>
    <row r="53" spans="1:15">
      <c r="A53" s="30"/>
      <c r="B53" s="32"/>
      <c r="C53" s="32" t="str">
        <f t="shared" si="1"/>
        <v>REVENUE REFUNDS:  CURRENT YEAR</v>
      </c>
      <c r="D53" s="32"/>
      <c r="E53" s="32"/>
      <c r="F53" s="61"/>
      <c r="G53" s="42"/>
      <c r="H53" s="16">
        <f>+'JUL WKSHT'!G78</f>
        <v>0</v>
      </c>
      <c r="I53" s="33"/>
      <c r="J53" s="57"/>
      <c r="K53" s="42"/>
      <c r="L53" s="16">
        <f t="shared" si="2"/>
        <v>0</v>
      </c>
      <c r="M53" s="33"/>
      <c r="N53" s="57"/>
    </row>
    <row r="54" spans="1:15">
      <c r="A54" s="30"/>
      <c r="B54" s="31"/>
      <c r="C54" s="32" t="str">
        <f t="shared" si="1"/>
        <v>REFUND OF PRIOR YEAR DISBURSEMENTS</v>
      </c>
      <c r="D54" s="32"/>
      <c r="E54" s="32"/>
      <c r="F54" s="61"/>
      <c r="G54" s="42"/>
      <c r="H54" s="16">
        <f>+'JUL WKSHT'!G79</f>
        <v>0</v>
      </c>
      <c r="I54" s="33"/>
      <c r="J54" s="57"/>
      <c r="K54" s="42"/>
      <c r="L54" s="16">
        <f t="shared" si="2"/>
        <v>0</v>
      </c>
      <c r="M54" s="33"/>
      <c r="N54" s="57"/>
    </row>
    <row r="55" spans="1:15">
      <c r="A55" s="30"/>
      <c r="B55" s="32"/>
      <c r="C55" s="32" t="str">
        <f t="shared" si="1"/>
        <v>UNHONORED CHECKS</v>
      </c>
      <c r="D55" s="32"/>
      <c r="E55" s="32"/>
      <c r="F55" s="61"/>
      <c r="G55" s="42"/>
      <c r="H55" s="16">
        <f>+'JUL WKSHT'!G80</f>
        <v>0</v>
      </c>
      <c r="I55" s="33"/>
      <c r="J55" s="57"/>
      <c r="K55" s="42"/>
      <c r="L55" s="16">
        <f t="shared" si="2"/>
        <v>0</v>
      </c>
      <c r="M55" s="33"/>
      <c r="N55" s="57"/>
    </row>
    <row r="56" spans="1:15">
      <c r="A56" s="30"/>
      <c r="B56" s="32"/>
      <c r="C56" s="32" t="str">
        <f t="shared" si="1"/>
        <v>RECEIPT ADJUSTMENTS</v>
      </c>
      <c r="D56" s="32"/>
      <c r="E56" s="32"/>
      <c r="F56" s="61"/>
      <c r="G56" s="42"/>
      <c r="H56" s="11">
        <f>+'JUL WKSHT'!G81</f>
        <v>0</v>
      </c>
      <c r="I56" s="16">
        <f>SUM(H51:H56)</f>
        <v>0</v>
      </c>
      <c r="J56" s="35"/>
      <c r="K56" s="42"/>
      <c r="L56" s="11">
        <f t="shared" si="2"/>
        <v>0</v>
      </c>
      <c r="M56" s="16">
        <f>SUM(L51:L56)</f>
        <v>0</v>
      </c>
      <c r="N56" s="35"/>
    </row>
    <row r="57" spans="1:15">
      <c r="A57" s="30"/>
      <c r="B57" s="32"/>
      <c r="C57" s="32"/>
      <c r="D57" s="32"/>
      <c r="E57" s="32"/>
      <c r="F57" s="61"/>
      <c r="G57" s="42"/>
      <c r="H57" s="16"/>
      <c r="I57" s="16"/>
      <c r="J57" s="35"/>
      <c r="K57" s="42"/>
      <c r="L57" s="16"/>
      <c r="M57" s="16"/>
      <c r="N57" s="35"/>
    </row>
    <row r="58" spans="1:15">
      <c r="A58" s="53">
        <f>+A34</f>
        <v>0</v>
      </c>
      <c r="B58" s="32" t="str">
        <f>+B34</f>
        <v>INVESTMENT INCOME</v>
      </c>
      <c r="C58" s="62"/>
      <c r="D58" s="32"/>
      <c r="E58" s="32"/>
      <c r="F58" s="61"/>
      <c r="G58" s="42"/>
      <c r="H58" s="16"/>
      <c r="I58" s="16">
        <f>+'JUL WKSHT'!H83</f>
        <v>147102.98000000001</v>
      </c>
      <c r="J58" s="35"/>
      <c r="K58" s="42"/>
      <c r="L58" s="16"/>
      <c r="M58" s="16">
        <f>+I58</f>
        <v>147102.98000000001</v>
      </c>
      <c r="N58" s="35"/>
    </row>
    <row r="59" spans="1:15">
      <c r="A59" s="30"/>
      <c r="B59" s="32"/>
      <c r="C59" s="32"/>
      <c r="D59" s="32"/>
      <c r="E59" s="32"/>
      <c r="F59" s="61"/>
      <c r="G59" s="42"/>
      <c r="H59" s="16"/>
      <c r="I59" s="16"/>
      <c r="J59" s="35"/>
      <c r="K59" s="42"/>
      <c r="L59" s="16"/>
      <c r="M59" s="16"/>
      <c r="N59" s="35"/>
    </row>
    <row r="60" spans="1:15">
      <c r="A60" s="30"/>
      <c r="B60" s="32" t="str">
        <f>+B36</f>
        <v>OTHER REVENUE</v>
      </c>
      <c r="C60" s="32"/>
      <c r="D60" s="32"/>
      <c r="E60" s="32"/>
      <c r="F60" s="61"/>
      <c r="G60" s="42"/>
      <c r="H60" s="16"/>
      <c r="I60" s="16">
        <f>+'JUL WKSHT'!H85</f>
        <v>0</v>
      </c>
      <c r="J60" s="35"/>
      <c r="K60" s="42"/>
      <c r="L60" s="16"/>
      <c r="M60" s="16">
        <f>+I60</f>
        <v>0</v>
      </c>
      <c r="N60" s="35"/>
    </row>
    <row r="61" spans="1:15">
      <c r="A61" s="30"/>
      <c r="B61" s="32"/>
      <c r="C61" s="32"/>
      <c r="D61" s="32"/>
      <c r="E61" s="32"/>
      <c r="F61" s="61"/>
      <c r="G61" s="42"/>
      <c r="H61" s="16"/>
      <c r="I61" s="16"/>
      <c r="J61" s="35"/>
      <c r="K61" s="42"/>
      <c r="L61" s="16"/>
      <c r="M61" s="16"/>
      <c r="N61" s="35"/>
    </row>
    <row r="62" spans="1:15">
      <c r="A62" s="30">
        <f>+A38</f>
        <v>0</v>
      </c>
      <c r="B62" s="32" t="str">
        <f>+B38</f>
        <v>EXPENDITURES</v>
      </c>
      <c r="C62" s="32"/>
      <c r="D62" s="32"/>
      <c r="E62" s="32"/>
      <c r="F62" s="61"/>
      <c r="G62" s="42"/>
      <c r="H62" s="16"/>
      <c r="I62" s="11">
        <f>+'JUL WKSHT'!H87</f>
        <v>3574325.9</v>
      </c>
      <c r="J62" s="35"/>
      <c r="K62" s="42"/>
      <c r="L62" s="16"/>
      <c r="M62" s="11">
        <f>+I62</f>
        <v>3574325.9</v>
      </c>
      <c r="N62" s="35"/>
    </row>
    <row r="63" spans="1:15">
      <c r="A63" s="30"/>
      <c r="B63" s="32"/>
      <c r="C63" s="32"/>
      <c r="D63" s="32"/>
      <c r="E63" s="32"/>
      <c r="F63" s="61"/>
      <c r="G63" s="42"/>
      <c r="H63" s="16"/>
      <c r="I63" s="16"/>
      <c r="J63" s="35"/>
      <c r="K63" s="42"/>
      <c r="L63" s="16"/>
      <c r="M63" s="16"/>
      <c r="N63" s="35"/>
    </row>
    <row r="64" spans="1:15" ht="13.5" thickBot="1">
      <c r="A64" s="30"/>
      <c r="B64" s="32" t="str">
        <f>+B40</f>
        <v>CASH BALANCE at the end of Accounting Period 1</v>
      </c>
      <c r="C64" s="32"/>
      <c r="D64" s="32"/>
      <c r="E64" s="32"/>
      <c r="F64" s="61"/>
      <c r="G64" s="42"/>
      <c r="H64" s="16"/>
      <c r="I64" s="21">
        <f>+I48+I56+I58+I60-I62</f>
        <v>35185762.289999999</v>
      </c>
      <c r="J64" s="56"/>
      <c r="K64" s="42"/>
      <c r="L64" s="16"/>
      <c r="M64" s="21">
        <f>+M46+M56+M58+M60-M62</f>
        <v>35185762.289999999</v>
      </c>
      <c r="N64" s="56"/>
      <c r="O64" s="2">
        <f>+I64-'JUL WKSHT'!H89</f>
        <v>0</v>
      </c>
    </row>
    <row r="65" spans="1:15" ht="13.5" thickBot="1">
      <c r="A65" s="38"/>
      <c r="B65" s="39"/>
      <c r="C65" s="39"/>
      <c r="D65" s="39"/>
      <c r="E65" s="39"/>
      <c r="F65" s="40"/>
      <c r="G65" s="43"/>
      <c r="H65" s="14"/>
      <c r="I65" s="14"/>
      <c r="J65" s="40"/>
      <c r="K65" s="43"/>
      <c r="L65" s="14"/>
      <c r="M65" s="14"/>
      <c r="N65" s="40"/>
      <c r="O65" s="2">
        <f>+M64-'JUL WKSHT'!K89</f>
        <v>0</v>
      </c>
    </row>
    <row r="66" spans="1:15">
      <c r="I66" s="18"/>
      <c r="J66" s="18"/>
      <c r="K66" s="18"/>
    </row>
  </sheetData>
  <phoneticPr fontId="12" type="noConversion"/>
  <printOptions horizontalCentered="1" verticalCentered="1"/>
  <pageMargins left="0" right="0" top="0.5" bottom="0.5" header="0" footer="0"/>
  <pageSetup scale="86"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8"/>
  <sheetViews>
    <sheetView zoomScale="90" zoomScaleNormal="90" workbookViewId="0">
      <selection activeCell="H79" sqref="H79"/>
    </sheetView>
  </sheetViews>
  <sheetFormatPr defaultColWidth="9.140625" defaultRowHeight="12.75"/>
  <cols>
    <col min="1" max="4" width="3.7109375" style="177" customWidth="1"/>
    <col min="5" max="5" width="29.7109375" style="177" customWidth="1"/>
    <col min="6" max="6" width="20" style="177" customWidth="1"/>
    <col min="7" max="7" width="16" style="177" bestFit="1" customWidth="1"/>
    <col min="8" max="8" width="18.28515625" style="177" bestFit="1" customWidth="1"/>
    <col min="9" max="9" width="1.7109375" style="177" customWidth="1"/>
    <col min="10" max="10" width="17.42578125" style="177" bestFit="1" customWidth="1"/>
    <col min="11" max="11" width="18.28515625" style="177" bestFit="1" customWidth="1"/>
    <col min="12" max="12" width="21.7109375" style="177" customWidth="1"/>
    <col min="13" max="13" width="15" style="177" bestFit="1" customWidth="1"/>
    <col min="14" max="15" width="9.140625" style="177"/>
    <col min="16" max="16" width="34.7109375" style="177" customWidth="1"/>
    <col min="17" max="16384" width="9.140625" style="177"/>
  </cols>
  <sheetData>
    <row r="1" spans="1:12">
      <c r="A1" s="386" t="s">
        <v>0</v>
      </c>
      <c r="B1" s="386"/>
      <c r="C1" s="386"/>
      <c r="D1" s="386"/>
      <c r="E1" s="386"/>
      <c r="F1" s="386"/>
      <c r="G1" s="386"/>
      <c r="H1" s="386"/>
      <c r="I1" s="386"/>
      <c r="J1" s="386"/>
      <c r="K1" s="386"/>
    </row>
    <row r="2" spans="1:12">
      <c r="A2" s="387" t="s">
        <v>1</v>
      </c>
      <c r="B2" s="386"/>
      <c r="C2" s="386"/>
      <c r="D2" s="386"/>
      <c r="E2" s="386"/>
      <c r="F2" s="386"/>
      <c r="G2" s="386"/>
      <c r="H2" s="386"/>
      <c r="I2" s="386"/>
      <c r="J2" s="386"/>
      <c r="K2" s="386"/>
    </row>
    <row r="3" spans="1:12">
      <c r="A3" s="386" t="s">
        <v>2</v>
      </c>
      <c r="B3" s="386"/>
      <c r="C3" s="386"/>
      <c r="D3" s="386"/>
      <c r="E3" s="386"/>
      <c r="F3" s="386"/>
      <c r="G3" s="386"/>
      <c r="H3" s="386"/>
      <c r="I3" s="386"/>
      <c r="J3" s="386"/>
      <c r="K3" s="386"/>
    </row>
    <row r="4" spans="1:12">
      <c r="A4" s="384" t="s">
        <v>115</v>
      </c>
      <c r="B4" s="388"/>
      <c r="C4" s="388"/>
      <c r="D4" s="388"/>
      <c r="E4" s="388"/>
      <c r="F4" s="388"/>
      <c r="G4" s="386"/>
      <c r="H4" s="386"/>
      <c r="I4" s="386"/>
      <c r="J4" s="386"/>
      <c r="K4" s="386"/>
    </row>
    <row r="5" spans="1:12" ht="4.9000000000000004" customHeight="1" thickBot="1">
      <c r="A5" s="389"/>
      <c r="B5" s="389"/>
      <c r="C5" s="389"/>
      <c r="D5" s="389"/>
      <c r="E5" s="389"/>
      <c r="F5" s="389"/>
      <c r="G5" s="389"/>
      <c r="H5" s="389"/>
      <c r="I5" s="389"/>
      <c r="J5" s="389"/>
      <c r="K5" s="389"/>
    </row>
    <row r="7" spans="1:12">
      <c r="B7" s="390"/>
      <c r="C7" s="390"/>
      <c r="D7" s="390"/>
      <c r="G7" s="5" t="s">
        <v>3</v>
      </c>
      <c r="H7" s="5"/>
      <c r="I7" s="383"/>
      <c r="J7" s="5" t="s">
        <v>4</v>
      </c>
      <c r="K7" s="210"/>
      <c r="L7" s="64" t="s">
        <v>5</v>
      </c>
    </row>
    <row r="8" spans="1:12">
      <c r="A8" s="387" t="str">
        <f>+'APR WKSHT'!A8</f>
        <v>DEPARTMENT OF REVENUE SURTAX RECEIPTS COLLECTED (14E6-130-D130-R000-R284, R285, R286)</v>
      </c>
    </row>
    <row r="9" spans="1:12">
      <c r="B9" s="178" t="str">
        <f>+'APR WKSHT'!B9</f>
        <v>GROSS RECEIPTS (REVENUE DISTRIBUTION)</v>
      </c>
      <c r="C9" s="178"/>
      <c r="E9" s="180"/>
    </row>
    <row r="10" spans="1:12">
      <c r="B10" s="178"/>
      <c r="C10" s="178" t="str">
        <f>+'APR WKSHT'!C10</f>
        <v>VOLUNTEER FIRE DEPARTMENT AID</v>
      </c>
      <c r="E10" s="180"/>
    </row>
    <row r="11" spans="1:12">
      <c r="D11" s="178" t="str">
        <f>+'APR WKSHT'!D11</f>
        <v>R284 Volunteer Fire Dept Aid Fund</v>
      </c>
      <c r="E11" s="180"/>
      <c r="H11" s="374">
        <v>2353522.15</v>
      </c>
      <c r="K11" s="72">
        <f>+H11+'APR WKSHT'!K11</f>
        <v>24595945.839999996</v>
      </c>
    </row>
    <row r="12" spans="1:12">
      <c r="C12" s="178" t="str">
        <f>+'APR WKSHT'!C12</f>
        <v>LAW ENFORCEMENT AND FIREFIGHTERS FUND</v>
      </c>
      <c r="D12" s="180"/>
      <c r="E12" s="180"/>
      <c r="G12" s="72"/>
      <c r="J12" s="72"/>
    </row>
    <row r="13" spans="1:12">
      <c r="D13" s="178" t="str">
        <f>+'APR WKSHT'!D13</f>
        <v>R285 Law Enforcement Fund</v>
      </c>
      <c r="E13" s="180"/>
      <c r="F13" s="72"/>
      <c r="G13" s="132">
        <v>10675237.720000001</v>
      </c>
      <c r="J13" s="72">
        <f>+G13+'APR WKSHT'!J13</f>
        <v>103299758.69</v>
      </c>
    </row>
    <row r="14" spans="1:12">
      <c r="D14" s="178" t="str">
        <f>+'APR WKSHT'!D14</f>
        <v>R286 Firefighters Fund</v>
      </c>
      <c r="E14" s="180"/>
      <c r="G14" s="182">
        <v>3010964.49</v>
      </c>
      <c r="H14" s="183">
        <f>SUM(G13:G14)</f>
        <v>13686202.210000001</v>
      </c>
      <c r="I14" s="72"/>
      <c r="J14" s="183">
        <f>+G14+'APR WKSHT'!J14</f>
        <v>29135829.609999999</v>
      </c>
      <c r="K14" s="183">
        <f>SUM(J13:J14)</f>
        <v>132435588.3</v>
      </c>
    </row>
    <row r="15" spans="1:12">
      <c r="D15" s="180"/>
      <c r="E15" s="180"/>
      <c r="G15" s="184"/>
      <c r="H15" s="72">
        <f>SUM(H11:H14)</f>
        <v>16039724.360000001</v>
      </c>
      <c r="I15" s="72"/>
      <c r="K15" s="72">
        <f>SUM(K11:K14)</f>
        <v>157031534.13999999</v>
      </c>
      <c r="L15" s="177">
        <f>+J51+J76-K15</f>
        <v>0</v>
      </c>
    </row>
    <row r="16" spans="1:12">
      <c r="D16" s="180"/>
      <c r="E16" s="180"/>
      <c r="G16" s="184"/>
      <c r="H16" s="72"/>
      <c r="I16" s="72"/>
      <c r="K16" s="72"/>
    </row>
    <row r="17" spans="2:12">
      <c r="B17" s="178" t="str">
        <f>+'APR WKSHT'!B17</f>
        <v>OTHER DISTRIBUTIONS (review JVs other than Revenue Distribution)</v>
      </c>
      <c r="D17" s="180"/>
      <c r="E17" s="180"/>
      <c r="H17" s="72"/>
      <c r="I17" s="72"/>
      <c r="K17" s="72"/>
    </row>
    <row r="18" spans="2:12">
      <c r="B18" s="180"/>
      <c r="C18" s="178" t="str">
        <f>+'APR WKSHT'!C18</f>
        <v>REVENUE REFUNDS</v>
      </c>
      <c r="D18" s="178"/>
      <c r="E18" s="180"/>
    </row>
    <row r="19" spans="2:12">
      <c r="B19" s="180"/>
      <c r="C19" s="178"/>
      <c r="D19" s="178" t="str">
        <f>+'APR WKSHT'!D19</f>
        <v>R284</v>
      </c>
      <c r="E19" s="180"/>
      <c r="G19" s="132">
        <v>0</v>
      </c>
      <c r="J19" s="72">
        <f>+G19+'APR WKSHT'!J19</f>
        <v>0</v>
      </c>
    </row>
    <row r="20" spans="2:12">
      <c r="B20" s="180"/>
      <c r="C20" s="178"/>
      <c r="D20" s="178" t="str">
        <f>+'APR WKSHT'!D20</f>
        <v>R285</v>
      </c>
      <c r="E20" s="180"/>
      <c r="G20" s="187">
        <v>-11503.39</v>
      </c>
      <c r="J20" s="177">
        <f>+G20+'APR WKSHT'!J20</f>
        <v>-162546.62</v>
      </c>
    </row>
    <row r="21" spans="2:12">
      <c r="B21" s="180"/>
      <c r="C21" s="178"/>
      <c r="D21" s="178" t="str">
        <f>+'APR WKSHT'!D21</f>
        <v>R286</v>
      </c>
      <c r="E21" s="180"/>
      <c r="G21" s="182">
        <v>-3244.55</v>
      </c>
      <c r="H21" s="177">
        <f>SUM(G19:G21)</f>
        <v>-14747.939999999999</v>
      </c>
      <c r="J21" s="183">
        <f>+G21+'APR WKSHT'!J21</f>
        <v>-45846.46</v>
      </c>
      <c r="K21" s="177">
        <f>SUM(J19:J21)</f>
        <v>-208393.08</v>
      </c>
      <c r="L21" s="177">
        <f>+J52+J53+J77+J78-K21</f>
        <v>14747.939999999973</v>
      </c>
    </row>
    <row r="22" spans="2:12">
      <c r="B22" s="180"/>
      <c r="C22" s="178" t="str">
        <f>+'APR WKSHT'!C22</f>
        <v>UNHONORED CHECKS</v>
      </c>
      <c r="E22" s="180"/>
    </row>
    <row r="23" spans="2:12">
      <c r="B23" s="180"/>
      <c r="D23" s="178" t="str">
        <f>+'APR WKSHT'!D23</f>
        <v>R284</v>
      </c>
      <c r="E23" s="180"/>
      <c r="G23" s="132"/>
      <c r="J23" s="72">
        <f>+G23+'APR WKSHT'!J23</f>
        <v>0</v>
      </c>
    </row>
    <row r="24" spans="2:12">
      <c r="B24" s="180"/>
      <c r="D24" s="178" t="str">
        <f>+'APR WKSHT'!D24</f>
        <v>R285</v>
      </c>
      <c r="E24" s="180"/>
      <c r="G24" s="187"/>
      <c r="J24" s="177">
        <f>+G24+'APR WKSHT'!J24</f>
        <v>0</v>
      </c>
    </row>
    <row r="25" spans="2:12">
      <c r="B25" s="180"/>
      <c r="D25" s="178" t="str">
        <f>+'APR WKSHT'!D25</f>
        <v>R286</v>
      </c>
      <c r="E25" s="180"/>
      <c r="G25" s="182"/>
      <c r="H25" s="177">
        <f>SUM(G23:G25)</f>
        <v>0</v>
      </c>
      <c r="J25" s="183">
        <f>+G25+'APR WKSHT'!J25</f>
        <v>0</v>
      </c>
      <c r="K25" s="177">
        <f>SUM(J23:J25)</f>
        <v>0</v>
      </c>
      <c r="L25" s="177">
        <f>+J55+J80-K25</f>
        <v>0</v>
      </c>
    </row>
    <row r="26" spans="2:12">
      <c r="B26" s="180"/>
      <c r="C26" s="178" t="str">
        <f>+'APR WKSHT'!C26</f>
        <v>RECEIPT ADJUSTMENTS</v>
      </c>
      <c r="E26" s="180"/>
    </row>
    <row r="27" spans="2:12">
      <c r="B27" s="180"/>
      <c r="D27" s="178" t="str">
        <f>+'APR WKSHT'!D27</f>
        <v>R284</v>
      </c>
      <c r="E27" s="180"/>
      <c r="G27" s="132">
        <v>-92129.3</v>
      </c>
      <c r="J27" s="72">
        <f>+G27+'APR WKSHT'!J27</f>
        <v>-912610.70000000007</v>
      </c>
    </row>
    <row r="28" spans="2:12">
      <c r="B28" s="180"/>
      <c r="D28" s="178" t="str">
        <f>+'APR WKSHT'!D28</f>
        <v>R285</v>
      </c>
      <c r="E28" s="180"/>
      <c r="G28" s="187"/>
      <c r="J28" s="177">
        <f>+G28+'APR WKSHT'!J28</f>
        <v>642183.63</v>
      </c>
    </row>
    <row r="29" spans="2:12">
      <c r="B29" s="180"/>
      <c r="D29" s="178" t="str">
        <f>+'APR WKSHT'!D29</f>
        <v>R286</v>
      </c>
      <c r="E29" s="180"/>
      <c r="F29" s="391"/>
      <c r="G29" s="211"/>
      <c r="H29" s="183">
        <f>SUM(G27:G29)</f>
        <v>-92129.3</v>
      </c>
      <c r="J29" s="183">
        <f>+G29+'APR WKSHT'!J29</f>
        <v>181128.69999999998</v>
      </c>
      <c r="K29" s="183">
        <f>SUM(J27:J29)</f>
        <v>-89298.370000000083</v>
      </c>
      <c r="L29" s="177">
        <f>+J56+J81-K29</f>
        <v>0</v>
      </c>
    </row>
    <row r="30" spans="2:12" ht="13.5" thickBot="1">
      <c r="B30" s="180"/>
      <c r="D30" s="178" t="str">
        <f>+'APR WKSHT'!D30</f>
        <v>NET RECEIPTS TO BE DISTRIBUTED</v>
      </c>
      <c r="E30" s="180"/>
      <c r="H30" s="189">
        <f>SUM(H15:H29)</f>
        <v>15932847.120000001</v>
      </c>
      <c r="I30" s="184"/>
      <c r="K30" s="189">
        <f>SUM(K15:K29)</f>
        <v>156733842.68999997</v>
      </c>
    </row>
    <row r="32" spans="2:12">
      <c r="B32" s="178" t="str">
        <f>+'APR WKSHT'!B32</f>
        <v>TOTAL</v>
      </c>
      <c r="D32" s="180"/>
    </row>
    <row r="33" spans="1:12">
      <c r="C33" s="178" t="str">
        <f>+'APR WKSHT'!C33</f>
        <v>R284</v>
      </c>
      <c r="D33" s="180"/>
      <c r="G33" s="72">
        <f>+G27+G23+G19+H11</f>
        <v>2261392.85</v>
      </c>
      <c r="J33" s="72">
        <f>+J27+J23+J19+K11</f>
        <v>23683335.139999997</v>
      </c>
    </row>
    <row r="34" spans="1:12">
      <c r="C34" s="178" t="str">
        <f>+'APR WKSHT'!C34</f>
        <v>R285</v>
      </c>
      <c r="D34" s="180"/>
      <c r="G34" s="177">
        <f>+G28+G24+G20+G13</f>
        <v>10663734.33</v>
      </c>
      <c r="J34" s="177">
        <f>+J28+J24+J20+J13</f>
        <v>103779395.7</v>
      </c>
    </row>
    <row r="35" spans="1:12">
      <c r="C35" s="178" t="str">
        <f>+'APR WKSHT'!C35</f>
        <v>R286</v>
      </c>
      <c r="D35" s="180"/>
      <c r="G35" s="183">
        <f>+G29+G25+G21+G14</f>
        <v>3007719.9400000004</v>
      </c>
      <c r="H35" s="72">
        <f>SUM(G33:G35)</f>
        <v>15932847.120000001</v>
      </c>
      <c r="J35" s="183">
        <f>+J29+J25+J21+J14</f>
        <v>29271111.849999998</v>
      </c>
      <c r="K35" s="72">
        <f>SUM(J33:J35)</f>
        <v>156733842.69</v>
      </c>
    </row>
    <row r="37" spans="1:12" ht="15">
      <c r="C37" s="212" t="s">
        <v>60</v>
      </c>
      <c r="D37" s="212"/>
      <c r="E37" s="212"/>
      <c r="F37" s="212"/>
      <c r="G37" s="392" t="s">
        <v>61</v>
      </c>
      <c r="H37" s="385">
        <v>2400001876</v>
      </c>
    </row>
    <row r="38" spans="1:12">
      <c r="C38" s="212"/>
      <c r="D38" s="227"/>
      <c r="E38" s="212" t="s">
        <v>59</v>
      </c>
      <c r="F38" s="212"/>
      <c r="G38" s="212"/>
      <c r="H38" s="165">
        <f>SUM(G39:G41)</f>
        <v>-14747.939999999999</v>
      </c>
      <c r="K38" s="206"/>
      <c r="L38" s="206"/>
    </row>
    <row r="39" spans="1:12">
      <c r="C39" s="212"/>
      <c r="D39" s="227"/>
      <c r="E39" s="227" t="s">
        <v>66</v>
      </c>
      <c r="F39" s="212"/>
      <c r="G39" s="165">
        <f>G19</f>
        <v>0</v>
      </c>
      <c r="H39" s="212"/>
      <c r="K39" s="206"/>
      <c r="L39" s="206"/>
    </row>
    <row r="40" spans="1:12">
      <c r="C40" s="212"/>
      <c r="D40" s="212"/>
      <c r="E40" s="227" t="s">
        <v>65</v>
      </c>
      <c r="F40" s="227"/>
      <c r="G40" s="165">
        <f>G20</f>
        <v>-11503.39</v>
      </c>
      <c r="H40" s="212"/>
      <c r="J40" s="177" t="s">
        <v>32</v>
      </c>
      <c r="K40" s="206"/>
      <c r="L40" s="206"/>
    </row>
    <row r="41" spans="1:12">
      <c r="C41" s="212"/>
      <c r="D41" s="212"/>
      <c r="E41" s="227" t="s">
        <v>66</v>
      </c>
      <c r="F41" s="212"/>
      <c r="G41" s="165">
        <f>G21</f>
        <v>-3244.55</v>
      </c>
      <c r="H41" s="212"/>
      <c r="K41" s="206"/>
      <c r="L41" s="206"/>
    </row>
    <row r="42" spans="1:12">
      <c r="C42" s="379" t="s">
        <v>72</v>
      </c>
      <c r="D42" s="212"/>
      <c r="E42" s="227"/>
      <c r="F42" s="212"/>
      <c r="G42" s="165"/>
      <c r="H42" s="212"/>
      <c r="K42" s="206"/>
      <c r="L42" s="206"/>
    </row>
    <row r="43" spans="1:12">
      <c r="C43" s="379"/>
      <c r="D43" s="212"/>
      <c r="E43" s="227"/>
      <c r="F43" s="212"/>
      <c r="G43" s="165"/>
      <c r="H43" s="212"/>
      <c r="K43" s="206"/>
      <c r="L43" s="206"/>
    </row>
    <row r="44" spans="1:12">
      <c r="E44" s="178"/>
    </row>
    <row r="45" spans="1:12">
      <c r="A45" s="387" t="str">
        <f>+'APR WKSHT'!A45</f>
        <v>LAW ENFORCEMENT FOUNDATION FUND (13DB-525-0000)</v>
      </c>
    </row>
    <row r="46" spans="1:12">
      <c r="A46" s="387"/>
      <c r="B46" s="178" t="str">
        <f>+'APR WKSHT'!B46</f>
        <v>BALANCE FORWARDED FROM FISCAL YEAR 2023</v>
      </c>
      <c r="K46" s="72">
        <f>+'APR WKSHT'!K46</f>
        <v>73871638.640000001</v>
      </c>
    </row>
    <row r="47" spans="1:12">
      <c r="A47" s="387"/>
    </row>
    <row r="48" spans="1:12">
      <c r="B48" s="199" t="str">
        <f>+'APR WKSHT'!B66</f>
        <v>CASH BALANCE APRIL 30, 2024</v>
      </c>
      <c r="H48" s="123">
        <f>+'APR WKSHT'!H66</f>
        <v>102069140.56</v>
      </c>
      <c r="I48" s="72"/>
    </row>
    <row r="49" spans="2:13">
      <c r="B49" s="178"/>
      <c r="H49" s="72"/>
      <c r="I49" s="72"/>
    </row>
    <row r="50" spans="2:13">
      <c r="B50" s="178" t="str">
        <f>+'APR WKSHT'!B50</f>
        <v>REVENUE DISTRIBUTION INCOME (REVENUE DETAIL WORKSHEET):</v>
      </c>
      <c r="H50" s="200" t="s">
        <v>63</v>
      </c>
      <c r="K50" s="200" t="s">
        <v>63</v>
      </c>
    </row>
    <row r="51" spans="2:13">
      <c r="C51" s="178" t="str">
        <f>+'APR WKSHT'!C51</f>
        <v>REVENUE DISTRIBUTION (N114)</v>
      </c>
      <c r="G51" s="132">
        <v>10675237.720000001</v>
      </c>
      <c r="H51" s="201">
        <f>+H14*0.78</f>
        <v>10675237.723800002</v>
      </c>
      <c r="J51" s="72">
        <f>+G51+'APR WKSHT'!J51</f>
        <v>103299758.69</v>
      </c>
      <c r="K51" s="201">
        <f>+K14*0.78</f>
        <v>103299758.874</v>
      </c>
    </row>
    <row r="52" spans="2:13">
      <c r="C52" s="178" t="str">
        <f>+'APR WKSHT'!C52</f>
        <v>REVENUE REFUNDS:  PRIOR YEAR</v>
      </c>
      <c r="G52" s="187"/>
      <c r="J52" s="177">
        <f>+G52+'APR WKSHT'!J52</f>
        <v>0</v>
      </c>
    </row>
    <row r="53" spans="2:13">
      <c r="C53" s="178" t="str">
        <f>+'APR WKSHT'!C53</f>
        <v>REVENUE REFUNDS:  CURRENT YEAR</v>
      </c>
      <c r="G53" s="187">
        <v>-1728.66</v>
      </c>
      <c r="J53" s="177">
        <f>+G53+'APR WKSHT'!J53</f>
        <v>-151043.23000000001</v>
      </c>
    </row>
    <row r="54" spans="2:13">
      <c r="C54" s="178" t="str">
        <f>+'APR WKSHT'!C54</f>
        <v>REFUND OF PRIOR YEAR DISBURSEMENTS (R881)</v>
      </c>
      <c r="G54" s="187"/>
      <c r="J54" s="177">
        <f>+G54+'APR WKSHT'!J54</f>
        <v>0</v>
      </c>
    </row>
    <row r="55" spans="2:13">
      <c r="C55" s="178" t="str">
        <f>+'APR WKSHT'!C55</f>
        <v>UNHONORED CHECKS</v>
      </c>
      <c r="G55" s="187"/>
      <c r="J55" s="177">
        <f>+G55+'APR WKSHT'!J55</f>
        <v>0</v>
      </c>
      <c r="M55" s="178"/>
    </row>
    <row r="56" spans="2:13">
      <c r="C56" s="178" t="str">
        <f>+'APR WKSHT'!C56</f>
        <v>RECEIPT ADJUSTMENTS</v>
      </c>
      <c r="G56" s="187"/>
      <c r="H56" s="177">
        <f>SUM(G51:G56)</f>
        <v>10673509.060000001</v>
      </c>
      <c r="J56" s="183">
        <f>+G56+'APR WKSHT'!J56</f>
        <v>642183.63</v>
      </c>
      <c r="K56" s="177">
        <f>SUM(J51:J56)</f>
        <v>103790899.08999999</v>
      </c>
    </row>
    <row r="58" spans="2:13">
      <c r="B58" s="178" t="str">
        <f>+'APR WKSHT'!B58</f>
        <v>INVESTMENT INCOME (R771)</v>
      </c>
      <c r="C58" s="180"/>
      <c r="H58" s="187">
        <v>445037.29</v>
      </c>
      <c r="K58" s="177">
        <f>+H58+'APR WKSHT'!K58</f>
        <v>4045621.78</v>
      </c>
      <c r="M58" s="180"/>
    </row>
    <row r="59" spans="2:13">
      <c r="L59" s="193" t="s">
        <v>50</v>
      </c>
      <c r="M59" s="178"/>
    </row>
    <row r="60" spans="2:13">
      <c r="B60" s="178" t="str">
        <f>+'APR WKSHT'!B60</f>
        <v>OTHER REVENUE</v>
      </c>
      <c r="H60" s="187">
        <v>0</v>
      </c>
      <c r="K60" s="177">
        <f>+H60+'APR WKSHT'!K60</f>
        <v>12931.36</v>
      </c>
      <c r="L60" s="194">
        <f>4344721.35+'APR WKSHT'!L60</f>
        <v>32399212.030000001</v>
      </c>
    </row>
    <row r="61" spans="2:13">
      <c r="L61" s="173" t="s">
        <v>54</v>
      </c>
      <c r="M61" s="178"/>
    </row>
    <row r="62" spans="2:13">
      <c r="B62" s="178" t="str">
        <f>+'MAR WKSHT'!B62</f>
        <v>EXPENDITURES (LAW ENFORCEMENT SUMMARY)</v>
      </c>
      <c r="L62" s="173">
        <f>+K46</f>
        <v>73871638.640000001</v>
      </c>
    </row>
    <row r="63" spans="2:13">
      <c r="B63" s="178"/>
      <c r="C63" s="177" t="str">
        <f>+'AUG WKSHT'!C63</f>
        <v>CASH EXPENDITURES</v>
      </c>
      <c r="J63" s="187">
        <v>75450240.200000003</v>
      </c>
      <c r="L63" s="173" t="s">
        <v>55</v>
      </c>
    </row>
    <row r="64" spans="2:13">
      <c r="B64" s="178"/>
      <c r="C64" s="177" t="str">
        <f>+'AUG WKSHT'!C64</f>
        <v>ACCRUED EXPENDITURES</v>
      </c>
      <c r="H64" s="183">
        <f>+K64-'APR WKSHT'!K64</f>
        <v>6775221.0300000012</v>
      </c>
      <c r="J64" s="187">
        <v>-141615.21</v>
      </c>
      <c r="K64" s="183">
        <f>SUM(J63:J64)</f>
        <v>75308624.99000001</v>
      </c>
      <c r="L64" s="173">
        <f>+J64</f>
        <v>-141615.21</v>
      </c>
    </row>
    <row r="65" spans="1:13">
      <c r="L65" s="173" t="s">
        <v>53</v>
      </c>
      <c r="M65" s="177" t="s">
        <v>70</v>
      </c>
    </row>
    <row r="66" spans="1:13" ht="13.5" thickBot="1">
      <c r="B66" s="212" t="s">
        <v>116</v>
      </c>
      <c r="C66" s="212"/>
      <c r="D66" s="212"/>
      <c r="E66" s="212"/>
      <c r="H66" s="262">
        <f>+H48+H56+H58+H60-H64</f>
        <v>106412465.88000001</v>
      </c>
      <c r="K66" s="262">
        <f>+K46+K56+K58+K60-K64</f>
        <v>106412465.88</v>
      </c>
      <c r="L66" s="213">
        <f>+L62-L64+L60</f>
        <v>106412465.88</v>
      </c>
      <c r="M66" s="393">
        <f>L66-K66</f>
        <v>0</v>
      </c>
    </row>
    <row r="68" spans="1:13">
      <c r="A68" s="387" t="str">
        <f>+'APR WKSHT'!A68</f>
        <v>FIREFIGHTERS FOUNDATION FUND (1341-470-UNIT-PK00)</v>
      </c>
    </row>
    <row r="69" spans="1:13">
      <c r="A69" s="178"/>
      <c r="B69" s="177" t="str">
        <f>+B46</f>
        <v>BALANCE FORWARDED FROM FISCAL YEAR 2023</v>
      </c>
      <c r="K69" s="72">
        <f>+'APR WKSHT'!K69</f>
        <v>38612985.210000001</v>
      </c>
    </row>
    <row r="70" spans="1:13">
      <c r="A70" s="387"/>
      <c r="K70" s="72"/>
    </row>
    <row r="71" spans="1:13">
      <c r="B71" s="178" t="str">
        <f>+B48</f>
        <v>CASH BALANCE APRIL 30, 2024</v>
      </c>
      <c r="H71" s="123">
        <f>+'APR WKSHT'!H89</f>
        <v>48392463.559999995</v>
      </c>
      <c r="I71" s="72"/>
    </row>
    <row r="72" spans="1:13">
      <c r="B72" s="178"/>
      <c r="H72" s="72"/>
      <c r="I72" s="72"/>
    </row>
    <row r="73" spans="1:13">
      <c r="B73" s="199" t="str">
        <f>+B50</f>
        <v>REVENUE DISTRIBUTION INCOME (REVENUE DETAIL WORKSHEET):</v>
      </c>
    </row>
    <row r="74" spans="1:13">
      <c r="C74" s="178" t="str">
        <f>+C51</f>
        <v>REVENUE DISTRIBUTION (N114)</v>
      </c>
      <c r="H74" s="200" t="s">
        <v>64</v>
      </c>
      <c r="K74" s="200"/>
    </row>
    <row r="75" spans="1:13">
      <c r="C75" s="178"/>
      <c r="D75" s="178" t="str">
        <f>+'APR WKSHT'!D75</f>
        <v>FIREFIGHTERS FUND</v>
      </c>
      <c r="F75" s="132">
        <v>3010964.49</v>
      </c>
      <c r="G75" s="72"/>
      <c r="H75" s="201">
        <f>+H14*0.22</f>
        <v>3010964.4862000002</v>
      </c>
      <c r="J75" s="72"/>
      <c r="K75" s="201"/>
      <c r="L75" s="169" t="s">
        <v>43</v>
      </c>
    </row>
    <row r="76" spans="1:13">
      <c r="C76" s="178"/>
      <c r="D76" s="178" t="str">
        <f>+'APR WKSHT'!D76</f>
        <v>VOLUNTEER FIRE DEPT AID</v>
      </c>
      <c r="F76" s="182">
        <v>2353522.15</v>
      </c>
      <c r="G76" s="72">
        <f>SUM(F75:F76)</f>
        <v>5364486.6400000006</v>
      </c>
      <c r="J76" s="72">
        <f>+G76+'APR WKSHT'!J76</f>
        <v>53731775.450000003</v>
      </c>
      <c r="L76" s="173">
        <f>+K11+J14</f>
        <v>53731775.449999996</v>
      </c>
    </row>
    <row r="77" spans="1:13">
      <c r="C77" s="178" t="str">
        <f>+C52</f>
        <v>REVENUE REFUNDS:  PRIOR YEAR</v>
      </c>
      <c r="G77" s="187"/>
      <c r="J77" s="177">
        <f>+G77+'APR WKSHT'!J77</f>
        <v>0</v>
      </c>
      <c r="L77" s="198" t="s">
        <v>44</v>
      </c>
    </row>
    <row r="78" spans="1:13">
      <c r="C78" s="177" t="str">
        <f>+C53</f>
        <v>REVENUE REFUNDS:  CURRENT YEAR</v>
      </c>
      <c r="G78" s="187">
        <v>-487.56</v>
      </c>
      <c r="J78" s="177">
        <f>+G78+'APR WKSHT'!J78</f>
        <v>-42601.909999999996</v>
      </c>
      <c r="L78" s="236">
        <f>+J76-L76</f>
        <v>0</v>
      </c>
    </row>
    <row r="79" spans="1:13">
      <c r="C79" s="178" t="str">
        <f>+C54</f>
        <v>REFUND OF PRIOR YEAR DISBURSEMENTS (R881)</v>
      </c>
      <c r="G79" s="187"/>
      <c r="J79" s="177">
        <f>+G79+'APR WKSHT'!J79</f>
        <v>0</v>
      </c>
    </row>
    <row r="80" spans="1:13">
      <c r="C80" s="177" t="str">
        <f>+C55</f>
        <v>UNHONORED CHECKS</v>
      </c>
      <c r="G80" s="187"/>
      <c r="J80" s="177">
        <f>+G80+'APR WKSHT'!J80</f>
        <v>0</v>
      </c>
    </row>
    <row r="81" spans="2:13">
      <c r="C81" s="177" t="str">
        <f>+C56</f>
        <v>RECEIPT ADJUSTMENTS</v>
      </c>
      <c r="G81" s="211">
        <v>-92129.3</v>
      </c>
      <c r="H81" s="177">
        <f>SUM(G75:G81)</f>
        <v>5271869.7800000012</v>
      </c>
      <c r="J81" s="183">
        <f>+G81+'APR WKSHT'!J81</f>
        <v>-731482</v>
      </c>
      <c r="K81" s="177">
        <f>SUM(J76:J81)</f>
        <v>52957691.540000007</v>
      </c>
    </row>
    <row r="83" spans="2:13">
      <c r="B83" s="178" t="str">
        <f>+B58</f>
        <v>INVESTMENT INCOME (R771)</v>
      </c>
      <c r="C83" s="180"/>
      <c r="H83" s="187">
        <v>242422.48</v>
      </c>
      <c r="K83" s="177">
        <f>+H83+'APR WKSHT'!K83</f>
        <v>1797185.83</v>
      </c>
    </row>
    <row r="84" spans="2:13">
      <c r="L84" s="193" t="s">
        <v>50</v>
      </c>
    </row>
    <row r="85" spans="2:13">
      <c r="B85" s="178" t="str">
        <f>+B60</f>
        <v>OTHER REVENUE</v>
      </c>
      <c r="C85" s="180"/>
      <c r="H85" s="212"/>
      <c r="K85" s="177">
        <f>+H85+'APR WKSHT'!K85</f>
        <v>0</v>
      </c>
      <c r="L85" s="194">
        <f>-939113.86+'APR WKSHT'!L85</f>
        <v>8840364.4900000021</v>
      </c>
    </row>
    <row r="86" spans="2:13">
      <c r="L86" s="173" t="s">
        <v>54</v>
      </c>
    </row>
    <row r="87" spans="2:13">
      <c r="B87" s="178" t="str">
        <f>+'APR WKSHT'!B87</f>
        <v>EXPENDITURES (FIREFIGHTERS SUMMARY)</v>
      </c>
      <c r="H87" s="183">
        <f>+K87-'APR WKSHT'!K87</f>
        <v>6453406.1200000048</v>
      </c>
      <c r="K87" s="187">
        <v>45914512.880000003</v>
      </c>
      <c r="L87" s="173">
        <f>+K69</f>
        <v>38612985.210000001</v>
      </c>
    </row>
    <row r="88" spans="2:13">
      <c r="L88" s="173" t="s">
        <v>53</v>
      </c>
      <c r="M88" s="177" t="s">
        <v>70</v>
      </c>
    </row>
    <row r="89" spans="2:13" ht="13.5" thickBot="1">
      <c r="B89" s="212" t="str">
        <f>+B66</f>
        <v>CASH BALANCE MAY 31, 2024</v>
      </c>
      <c r="C89" s="212"/>
      <c r="D89" s="212"/>
      <c r="E89" s="212"/>
      <c r="H89" s="262">
        <f>+H71+H81+H83+H85-H87</f>
        <v>47453349.699999988</v>
      </c>
      <c r="K89" s="262">
        <f>+K69+K81+K83+K85-K87</f>
        <v>47453349.699999996</v>
      </c>
      <c r="L89" s="213">
        <f>+L85+L87</f>
        <v>47453349.700000003</v>
      </c>
      <c r="M89" s="177">
        <f>L89-K89</f>
        <v>0</v>
      </c>
    </row>
    <row r="93" spans="2:13" ht="15.75">
      <c r="B93" s="287" t="s">
        <v>69</v>
      </c>
      <c r="C93" s="288"/>
      <c r="D93" s="288"/>
      <c r="E93" s="288"/>
      <c r="F93" s="288"/>
      <c r="G93" s="207"/>
      <c r="H93" s="207"/>
      <c r="I93" s="207"/>
      <c r="J93" s="207"/>
      <c r="K93" s="207"/>
      <c r="L93" s="207"/>
    </row>
    <row r="94" spans="2:13" ht="15.75">
      <c r="B94" s="287"/>
      <c r="C94" s="288"/>
      <c r="D94" s="289" t="s">
        <v>75</v>
      </c>
      <c r="E94" s="288"/>
      <c r="F94" s="288"/>
      <c r="G94" s="207"/>
      <c r="H94" s="207"/>
      <c r="I94" s="207"/>
      <c r="J94" s="207"/>
      <c r="K94" s="207"/>
      <c r="L94" s="207"/>
    </row>
    <row r="95" spans="2:13">
      <c r="B95" s="288"/>
      <c r="C95" s="288"/>
      <c r="D95" s="376"/>
      <c r="E95" s="296"/>
      <c r="F95" s="291"/>
      <c r="G95" s="375"/>
      <c r="H95" s="292"/>
      <c r="I95" s="207"/>
      <c r="J95" s="207"/>
      <c r="K95" s="207"/>
      <c r="L95" s="207"/>
    </row>
    <row r="96" spans="2:13">
      <c r="B96" s="288"/>
      <c r="C96" s="288"/>
      <c r="D96" s="288"/>
      <c r="E96" s="288"/>
      <c r="F96" s="288"/>
      <c r="G96" s="207"/>
      <c r="H96" s="293"/>
      <c r="I96" s="294"/>
      <c r="J96" s="207"/>
      <c r="K96" s="207"/>
      <c r="L96" s="207"/>
    </row>
    <row r="97" spans="2:12">
      <c r="B97" s="288"/>
      <c r="C97" s="288"/>
      <c r="D97" s="289" t="s">
        <v>74</v>
      </c>
      <c r="E97" s="288"/>
      <c r="F97" s="288"/>
      <c r="G97" s="207"/>
      <c r="H97" s="293"/>
      <c r="I97" s="294"/>
      <c r="J97" s="207"/>
      <c r="K97" s="207"/>
      <c r="L97" s="207"/>
    </row>
    <row r="98" spans="2:12">
      <c r="B98" s="288"/>
      <c r="C98" s="288"/>
      <c r="D98" s="288"/>
      <c r="E98" s="296"/>
      <c r="F98" s="291"/>
      <c r="G98" s="375"/>
      <c r="H98" s="292"/>
      <c r="I98" s="207"/>
      <c r="J98" s="207"/>
      <c r="K98" s="207"/>
      <c r="L98" s="207"/>
    </row>
  </sheetData>
  <printOptions horizontalCentered="1" verticalCentered="1"/>
  <pageMargins left="0" right="0" top="0" bottom="0" header="0" footer="0"/>
  <pageSetup scale="64" orientation="portrait" horizontalDpi="300" verticalDpi="300" r:id="rId1"/>
  <headerFooter alignWithMargins="0">
    <oddHeader>&amp;R&amp;F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65"/>
  <sheetViews>
    <sheetView workbookViewId="0">
      <selection activeCell="L24" sqref="L24"/>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8" width="14.7109375" style="2" customWidth="1"/>
    <col min="9" max="9" width="16" style="2" bestFit="1" customWidth="1"/>
    <col min="10" max="11" width="1.7109375" style="2" customWidth="1"/>
    <col min="12" max="13" width="16" style="2" bestFit="1" customWidth="1"/>
    <col min="14" max="14" width="1.7109375" style="2" customWidth="1"/>
    <col min="15" max="15" width="10.28515625" style="2" customWidth="1"/>
    <col min="16" max="16384" width="9.140625" style="2"/>
  </cols>
  <sheetData>
    <row r="1" spans="1:15" ht="15">
      <c r="A1" s="58" t="str">
        <f>+'[3]JUL WKSHT'!A1</f>
        <v>COMMONWEALTH OF KENTUCKY</v>
      </c>
      <c r="B1" s="3"/>
      <c r="C1" s="3"/>
      <c r="D1" s="3"/>
      <c r="E1" s="3"/>
      <c r="F1" s="3"/>
      <c r="G1" s="3"/>
      <c r="H1" s="3"/>
      <c r="I1" s="3"/>
      <c r="J1" s="3"/>
      <c r="K1" s="3"/>
      <c r="L1" s="3"/>
      <c r="M1" s="3"/>
      <c r="N1" s="3"/>
    </row>
    <row r="2" spans="1:15" ht="15">
      <c r="A2" s="59" t="str">
        <f>+'[3]JUL WKSHT'!A2</f>
        <v>LAW ENFORCEMENT FOUNDATION AND FIREFIGHTERS FOUNDATION FUNDS</v>
      </c>
      <c r="B2" s="3"/>
      <c r="C2" s="3"/>
      <c r="D2" s="3"/>
      <c r="E2" s="3"/>
      <c r="F2" s="3"/>
      <c r="G2" s="3"/>
      <c r="H2" s="3"/>
      <c r="I2" s="3"/>
      <c r="J2" s="3"/>
      <c r="K2" s="3"/>
      <c r="L2" s="3"/>
      <c r="M2" s="3"/>
      <c r="N2" s="3"/>
    </row>
    <row r="3" spans="1:15" ht="15">
      <c r="A3" s="59" t="str">
        <f>+[3]JUL!A3</f>
        <v>SURTAX RECEIPTS SCHEDULE</v>
      </c>
      <c r="B3" s="3"/>
      <c r="C3" s="3"/>
      <c r="D3" s="3"/>
      <c r="E3" s="3"/>
      <c r="F3" s="3"/>
      <c r="G3" s="3"/>
      <c r="H3" s="3"/>
      <c r="I3" s="3"/>
      <c r="J3" s="3"/>
      <c r="K3" s="3"/>
      <c r="L3" s="3"/>
      <c r="M3" s="3"/>
      <c r="N3" s="3"/>
    </row>
    <row r="4" spans="1:15" ht="15">
      <c r="A4" s="59" t="str">
        <f>+'[5]MAY WKSHT'!A4</f>
        <v>FOR THE PERIOD MAY 1, 2024 - MAY 31, 2024</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+[3]JUL!A7</f>
        <v>DEPARTMENT OF REVENUE SURTAX RECEIPTS COLLECTED</v>
      </c>
      <c r="B7" s="46"/>
      <c r="C7" s="46"/>
      <c r="D7" s="46"/>
      <c r="E7" s="27"/>
      <c r="F7" s="29"/>
      <c r="H7"/>
      <c r="I7"/>
      <c r="J7"/>
      <c r="K7"/>
      <c r="L7"/>
      <c r="M7"/>
      <c r="N7"/>
      <c r="O7" s="64" t="s">
        <v>5</v>
      </c>
    </row>
    <row r="8" spans="1:15" ht="13.5" thickBot="1">
      <c r="A8" s="51"/>
      <c r="B8" s="52"/>
      <c r="C8" s="52"/>
      <c r="D8" s="52"/>
      <c r="E8" s="39"/>
      <c r="F8" s="40"/>
      <c r="G8" s="24" t="s">
        <v>3</v>
      </c>
      <c r="H8" s="60"/>
      <c r="I8" s="60"/>
      <c r="J8" s="25"/>
      <c r="K8" s="24" t="s">
        <v>4</v>
      </c>
      <c r="L8" s="60"/>
      <c r="M8" s="60"/>
      <c r="N8" s="25"/>
      <c r="O8" s="390"/>
    </row>
    <row r="9" spans="1:15">
      <c r="A9" s="26"/>
      <c r="B9" s="27"/>
      <c r="C9" s="27"/>
      <c r="D9" s="27"/>
      <c r="E9" s="27"/>
      <c r="F9" s="29"/>
      <c r="G9" s="41"/>
      <c r="H9" s="28"/>
      <c r="I9" s="28"/>
      <c r="J9" s="29"/>
      <c r="K9" s="41"/>
      <c r="L9" s="28"/>
      <c r="M9" s="28"/>
      <c r="N9" s="29"/>
    </row>
    <row r="10" spans="1:15">
      <c r="A10" s="53"/>
      <c r="B10" s="7" t="str">
        <f>+[3]JUL!B10</f>
        <v>GROSS RECEIPTS:</v>
      </c>
      <c r="C10" s="7"/>
      <c r="E10"/>
      <c r="F10" s="35"/>
      <c r="G10" s="42"/>
      <c r="I10" s="20"/>
      <c r="J10" s="56"/>
      <c r="K10" s="42"/>
      <c r="M10" s="20"/>
      <c r="N10" s="56"/>
    </row>
    <row r="11" spans="1:15">
      <c r="A11" s="53"/>
      <c r="B11" s="7"/>
      <c r="C11" s="7" t="str">
        <f>+[3]JUL!C11</f>
        <v>VOLUNTEER FIRE DEPARTMENT AID</v>
      </c>
      <c r="E11"/>
      <c r="F11" s="35"/>
      <c r="G11" s="42"/>
      <c r="H11" s="13">
        <f>+'[5]MAY WKSHT'!H11</f>
        <v>2353522.15</v>
      </c>
      <c r="I11" s="13"/>
      <c r="J11" s="34"/>
      <c r="K11" s="42"/>
      <c r="L11" s="13">
        <f>+'[5]MAY WKSHT'!K11</f>
        <v>24595945.839999996</v>
      </c>
      <c r="M11" s="13"/>
      <c r="N11" s="34"/>
    </row>
    <row r="12" spans="1:15">
      <c r="A12" s="53"/>
      <c r="B12" s="7"/>
      <c r="C12" s="7" t="str">
        <f>+[3]JUL!C12</f>
        <v>LAW ENFORCEMENT AND FIREFIGHTERS FUND</v>
      </c>
      <c r="E12"/>
      <c r="F12" s="35"/>
      <c r="G12" s="42"/>
      <c r="H12" s="11">
        <f>+'[5]MAY WKSHT'!H14</f>
        <v>13686202.210000001</v>
      </c>
      <c r="I12" s="13">
        <f>SUM(H11:H12)</f>
        <v>16039724.360000001</v>
      </c>
      <c r="J12" s="34"/>
      <c r="K12" s="42"/>
      <c r="L12" s="11">
        <f>+'[5]MAY WKSHT'!K14</f>
        <v>132435588.3</v>
      </c>
      <c r="M12" s="13">
        <f>SUM(L11:L12)</f>
        <v>157031534.13999999</v>
      </c>
      <c r="N12" s="34"/>
    </row>
    <row r="13" spans="1:15">
      <c r="A13" s="53"/>
      <c r="B13" s="7" t="str">
        <f>+[3]JUL!B13</f>
        <v>REVENUE REFUNDS</v>
      </c>
      <c r="C13"/>
      <c r="D13" s="7"/>
      <c r="E13"/>
      <c r="F13" s="35"/>
      <c r="G13" s="42"/>
      <c r="I13" s="2">
        <f>+'[5]MAY WKSHT'!H21</f>
        <v>-14747.939999999999</v>
      </c>
      <c r="J13" s="35"/>
      <c r="K13" s="42"/>
      <c r="M13" s="2">
        <f>+'[5]MAY WKSHT'!K21</f>
        <v>-208393.08</v>
      </c>
      <c r="N13" s="35"/>
    </row>
    <row r="14" spans="1:15">
      <c r="A14" s="30"/>
      <c r="B14" s="7" t="str">
        <f>+[3]JUL!B14</f>
        <v>UNHONORED CHECKS</v>
      </c>
      <c r="C14"/>
      <c r="E14"/>
      <c r="F14" s="35"/>
      <c r="G14" s="42"/>
      <c r="I14" s="2">
        <f>+'[5]MAY WKSHT'!H25</f>
        <v>0</v>
      </c>
      <c r="J14" s="35"/>
      <c r="K14" s="42"/>
      <c r="M14" s="2">
        <f>+'[5]MAY WKSHT'!K25</f>
        <v>0</v>
      </c>
      <c r="N14" s="35"/>
    </row>
    <row r="15" spans="1:15">
      <c r="A15" s="30"/>
      <c r="B15" s="7" t="str">
        <f>+[3]JUL!B15</f>
        <v>RECEIPT ADJUSTMENTS</v>
      </c>
      <c r="C15"/>
      <c r="E15"/>
      <c r="F15" s="35"/>
      <c r="G15" s="42"/>
      <c r="I15" s="177">
        <f>+'[5]MAY WKSHT'!H29</f>
        <v>-92129.3</v>
      </c>
      <c r="J15" s="398"/>
      <c r="K15" s="42"/>
      <c r="M15" s="177">
        <f>+'[5]MAY WKSHT'!K29</f>
        <v>-89298.370000000083</v>
      </c>
      <c r="N15" s="398"/>
    </row>
    <row r="16" spans="1:15" ht="13.5" thickBot="1">
      <c r="A16" s="50"/>
      <c r="B16"/>
      <c r="C16" s="7" t="str">
        <f>+[3]JUL!C16</f>
        <v>NET RECEIPTS TO BE DISTRIBUTED</v>
      </c>
      <c r="D16"/>
      <c r="E16"/>
      <c r="F16" s="35"/>
      <c r="G16" s="42"/>
      <c r="I16" s="22">
        <f>SUM(I10:I15)</f>
        <v>15932847.120000001</v>
      </c>
      <c r="J16" s="56"/>
      <c r="K16" s="42"/>
      <c r="M16" s="22">
        <f>SUM(M10:M15)</f>
        <v>156733842.68999997</v>
      </c>
      <c r="N16" s="56"/>
      <c r="O16" s="2">
        <f>+I16-'[5]MAY WKSHT'!H30</f>
        <v>0</v>
      </c>
    </row>
    <row r="17" spans="1:15" ht="13.5" thickBot="1">
      <c r="A17" s="38"/>
      <c r="B17" s="39"/>
      <c r="C17" s="39"/>
      <c r="D17" s="39"/>
      <c r="E17" s="39"/>
      <c r="F17" s="40"/>
      <c r="G17" s="43"/>
      <c r="H17" s="14"/>
      <c r="I17" s="14"/>
      <c r="J17" s="40"/>
      <c r="K17" s="43"/>
      <c r="L17" s="14"/>
      <c r="M17" s="14"/>
      <c r="N17" s="40"/>
      <c r="O17" s="2">
        <f>+M16-'[5]MAY WKSHT'!K30</f>
        <v>0</v>
      </c>
    </row>
    <row r="18" spans="1:15" ht="13.5" thickBot="1">
      <c r="E18" s="7"/>
    </row>
    <row r="19" spans="1:15" ht="13.5" thickBot="1">
      <c r="A19" s="45" t="str">
        <f>+[3]JUL!A19</f>
        <v>LAW ENFORCEMENT FOUNDATION FUND</v>
      </c>
      <c r="B19" s="46"/>
      <c r="C19" s="46"/>
      <c r="D19" s="46"/>
      <c r="E19" s="27"/>
      <c r="F19" s="29"/>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7" t="str">
        <f>+[3]JUL!B22</f>
        <v>BALANCE FORWARDED FROM FISCAL YEAR 2023</v>
      </c>
      <c r="C22"/>
      <c r="F22" s="35"/>
      <c r="G22" s="42"/>
      <c r="J22" s="35"/>
      <c r="K22" s="42"/>
      <c r="M22" s="13">
        <f>+'[5]MAY WKSHT'!K46</f>
        <v>73871628.640000001</v>
      </c>
      <c r="N22" s="35"/>
    </row>
    <row r="23" spans="1:15">
      <c r="A23" s="49"/>
      <c r="B23" s="9"/>
      <c r="F23" s="35"/>
      <c r="G23" s="42"/>
      <c r="J23" s="35"/>
      <c r="K23" s="42"/>
      <c r="N23" s="35"/>
    </row>
    <row r="24" spans="1:15">
      <c r="A24" s="53"/>
      <c r="B24" s="7" t="str">
        <f>+'[5]MAY WKSHT'!B48</f>
        <v>CASH BALANCE APRIL 30, 2024</v>
      </c>
      <c r="C24"/>
      <c r="F24" s="35"/>
      <c r="G24" s="42"/>
      <c r="I24" s="20">
        <f>+'[5]MAY WKSHT'!H48</f>
        <v>102069130.56</v>
      </c>
      <c r="J24" s="56"/>
      <c r="K24" s="42"/>
      <c r="M24" s="20"/>
      <c r="N24" s="56"/>
    </row>
    <row r="25" spans="1:15">
      <c r="A25" s="30"/>
      <c r="C25" s="7"/>
      <c r="F25" s="35"/>
      <c r="G25" s="42"/>
      <c r="I25" s="20"/>
      <c r="J25" s="56"/>
      <c r="K25" s="42"/>
      <c r="M25" s="20"/>
      <c r="N25" s="56"/>
    </row>
    <row r="26" spans="1:15">
      <c r="A26" s="54"/>
      <c r="B26" s="7" t="str">
        <f>+[3]JUL!B26</f>
        <v>REVENUE DISTRIBUTION INCOME:</v>
      </c>
      <c r="F26" s="35"/>
      <c r="G26" s="42"/>
      <c r="J26" s="35"/>
      <c r="K26" s="42"/>
      <c r="N26" s="35"/>
    </row>
    <row r="27" spans="1:15">
      <c r="A27" s="30"/>
      <c r="C27" s="7" t="str">
        <f>+[3]JUL!C27</f>
        <v>REVENUE DISTRIBUTION</v>
      </c>
      <c r="F27" s="35"/>
      <c r="G27" s="42"/>
      <c r="H27" s="20">
        <f>+'[5]MAY WKSHT'!G51</f>
        <v>10675237.720000001</v>
      </c>
      <c r="I27"/>
      <c r="J27" s="57"/>
      <c r="K27" s="42"/>
      <c r="L27" s="20">
        <f>+'[5]MAY WKSHT'!J51</f>
        <v>103299758.69</v>
      </c>
      <c r="M27"/>
      <c r="N27" s="57"/>
    </row>
    <row r="28" spans="1:15">
      <c r="A28" s="30"/>
      <c r="C28" s="7" t="str">
        <f>+[3]JUL!C28</f>
        <v>REVENUE REFUNDS:  PRIOR YEAR</v>
      </c>
      <c r="F28" s="35"/>
      <c r="G28" s="42"/>
      <c r="H28" s="2">
        <f>+'[5]MAY WKSHT'!G52</f>
        <v>0</v>
      </c>
      <c r="I28"/>
      <c r="J28" s="57"/>
      <c r="K28" s="42"/>
      <c r="L28" s="2">
        <f>+'[5]MAY WKSHT'!J52</f>
        <v>0</v>
      </c>
      <c r="M28"/>
      <c r="N28" s="57"/>
    </row>
    <row r="29" spans="1:15">
      <c r="A29" s="30"/>
      <c r="C29" s="7" t="str">
        <f>+[3]JUL!C29</f>
        <v>REVENUE REFUNDS:  CURRENT YEAR</v>
      </c>
      <c r="F29" s="35"/>
      <c r="G29" s="42"/>
      <c r="H29" s="2">
        <f>+'[5]MAY WKSHT'!G53</f>
        <v>-1728.66</v>
      </c>
      <c r="I29"/>
      <c r="J29" s="57"/>
      <c r="K29" s="42"/>
      <c r="L29" s="2">
        <f>+'[5]MAY WKSHT'!J53</f>
        <v>-151043.23000000001</v>
      </c>
      <c r="M29"/>
      <c r="N29" s="57"/>
    </row>
    <row r="30" spans="1:15">
      <c r="A30" s="30"/>
      <c r="C30" s="7" t="str">
        <f>+[3]JUL!C30</f>
        <v>REFUND OF PRIOR YEAR DISBURSEMENTS</v>
      </c>
      <c r="F30" s="35"/>
      <c r="G30" s="42"/>
      <c r="H30" s="2">
        <f>+'[5]MAY WKSHT'!G54</f>
        <v>0</v>
      </c>
      <c r="I30"/>
      <c r="J30" s="57"/>
      <c r="K30" s="42"/>
      <c r="L30" s="2">
        <f>+'[5]MAY WKSHT'!J54</f>
        <v>0</v>
      </c>
      <c r="M30"/>
      <c r="N30" s="57"/>
    </row>
    <row r="31" spans="1:15">
      <c r="A31" s="30"/>
      <c r="C31" s="7" t="str">
        <f>+[3]JUL!C31</f>
        <v>UNHONORED CHECKS</v>
      </c>
      <c r="F31" s="35"/>
      <c r="G31" s="42"/>
      <c r="H31" s="2">
        <f>+'[5]MAY WKSHT'!G55</f>
        <v>0</v>
      </c>
      <c r="I31"/>
      <c r="J31" s="57"/>
      <c r="K31" s="42"/>
      <c r="L31" s="2">
        <f>+'[5]MAY WKSHT'!J55</f>
        <v>0</v>
      </c>
      <c r="M31"/>
      <c r="N31" s="57"/>
    </row>
    <row r="32" spans="1:15">
      <c r="A32" s="30"/>
      <c r="C32" s="7" t="str">
        <f>+[3]JUL!C32</f>
        <v>RECEIPT ADJUSTMENTS</v>
      </c>
      <c r="F32" s="35"/>
      <c r="G32" s="42"/>
      <c r="H32" s="11">
        <f>+'[5]MAY WKSHT'!G56</f>
        <v>0</v>
      </c>
      <c r="I32" s="2">
        <f>SUM(H27:H32)</f>
        <v>10673509.060000001</v>
      </c>
      <c r="J32" s="35"/>
      <c r="K32" s="42"/>
      <c r="L32" s="11">
        <f>+'[5]MAY WKSHT'!J56</f>
        <v>642183.63</v>
      </c>
      <c r="M32" s="2">
        <f>SUM(L27:L32)</f>
        <v>103790899.08999999</v>
      </c>
      <c r="N32" s="35"/>
    </row>
    <row r="33" spans="1:15">
      <c r="A33" s="30"/>
      <c r="F33" s="35"/>
      <c r="G33" s="42"/>
      <c r="J33" s="35"/>
      <c r="K33" s="42"/>
      <c r="N33" s="35"/>
    </row>
    <row r="34" spans="1:15">
      <c r="A34" s="53"/>
      <c r="B34" s="7" t="str">
        <f>+[3]JUL!B34</f>
        <v>INVESTMENT INCOME</v>
      </c>
      <c r="C34"/>
      <c r="F34" s="35"/>
      <c r="G34" s="42"/>
      <c r="I34" s="2">
        <f>+'[5]MAY WKSHT'!H58</f>
        <v>445037.29</v>
      </c>
      <c r="J34" s="35"/>
      <c r="K34" s="42"/>
      <c r="M34" s="2">
        <f>+'[5]MAY WKSHT'!K58</f>
        <v>4045621.78</v>
      </c>
      <c r="N34" s="35"/>
    </row>
    <row r="35" spans="1:15">
      <c r="A35" s="30"/>
      <c r="F35" s="35"/>
      <c r="G35" s="42"/>
      <c r="J35" s="35"/>
      <c r="K35" s="42"/>
      <c r="N35" s="35"/>
    </row>
    <row r="36" spans="1:15">
      <c r="A36" s="30"/>
      <c r="B36" s="7" t="str">
        <f>+[3]JUL!B36</f>
        <v>OTHER REVENUE</v>
      </c>
      <c r="C36"/>
      <c r="F36" s="35"/>
      <c r="G36" s="42"/>
      <c r="I36" s="2">
        <f>+'[5]MAY WKSHT'!H60</f>
        <v>0</v>
      </c>
      <c r="J36" s="35"/>
      <c r="K36" s="42"/>
      <c r="M36" s="2">
        <f>+'[5]MAY WKSHT'!K60</f>
        <v>12931.36</v>
      </c>
      <c r="N36" s="35"/>
    </row>
    <row r="37" spans="1:15">
      <c r="A37" s="30"/>
      <c r="F37" s="35"/>
      <c r="G37" s="42"/>
      <c r="J37" s="35"/>
      <c r="K37" s="42"/>
      <c r="N37" s="35"/>
    </row>
    <row r="38" spans="1:15">
      <c r="A38" s="53"/>
      <c r="B38" s="7" t="str">
        <f>+[3]JUL!B38</f>
        <v>EXPENDITURES</v>
      </c>
      <c r="F38" s="35"/>
      <c r="G38" s="42"/>
      <c r="I38" s="11">
        <f>+'[5]MAY WKSHT'!H64</f>
        <v>6775221.0300000012</v>
      </c>
      <c r="J38" s="35"/>
      <c r="K38" s="42"/>
      <c r="M38" s="11">
        <f>+'[5]MAY WKSHT'!K64</f>
        <v>75308624.99000001</v>
      </c>
      <c r="N38" s="35"/>
    </row>
    <row r="39" spans="1:15">
      <c r="A39" s="30"/>
      <c r="F39" s="35"/>
      <c r="G39" s="42"/>
      <c r="J39" s="35"/>
      <c r="K39" s="42"/>
      <c r="N39" s="35"/>
    </row>
    <row r="40" spans="1:15" ht="13.5" thickBot="1">
      <c r="A40" s="53"/>
      <c r="B40" s="7" t="str">
        <f>+'[5]MAY WKSHT'!B66</f>
        <v>CASH BALANCE MAY 31, 2024</v>
      </c>
      <c r="F40" s="35"/>
      <c r="G40" s="42"/>
      <c r="I40" s="21">
        <f>+I24+I32+I34+I36-I38</f>
        <v>106412455.88000001</v>
      </c>
      <c r="J40" s="56"/>
      <c r="K40" s="42"/>
      <c r="M40" s="21">
        <f>+M22+M32+M34+M36-M38</f>
        <v>106412455.88</v>
      </c>
      <c r="N40" s="56"/>
      <c r="O40" s="2">
        <f>+I40-'[5]MAY WKSHT'!H66</f>
        <v>0</v>
      </c>
    </row>
    <row r="41" spans="1:15" ht="13.5" thickBot="1">
      <c r="A41" s="38"/>
      <c r="B41" s="39"/>
      <c r="C41" s="39"/>
      <c r="D41" s="39"/>
      <c r="E41" s="39"/>
      <c r="F41" s="40"/>
      <c r="G41" s="43"/>
      <c r="H41" s="14"/>
      <c r="I41" s="14"/>
      <c r="J41" s="40"/>
      <c r="K41" s="43"/>
      <c r="L41" s="14"/>
      <c r="M41" s="14"/>
      <c r="N41" s="40"/>
      <c r="O41" s="2">
        <f>+M40-'[5]MAY WKSHT'!K66</f>
        <v>0</v>
      </c>
    </row>
    <row r="42" spans="1:15" ht="13.5" thickBot="1"/>
    <row r="43" spans="1:15" ht="13.5" thickBot="1">
      <c r="A43" s="45" t="str">
        <f>+[3]JUL!A43</f>
        <v>FIREFIGHTERS FOUNDATION FUND</v>
      </c>
      <c r="B43" s="27"/>
      <c r="C43" s="27"/>
      <c r="D43" s="27"/>
      <c r="E43" s="27"/>
      <c r="F43" s="29"/>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7" t="str">
        <f>+B22</f>
        <v>BALANCE FORWARDED FROM FISCAL YEAR 2023</v>
      </c>
      <c r="F46" s="35"/>
      <c r="G46" s="42"/>
      <c r="J46" s="35"/>
      <c r="K46" s="42"/>
      <c r="M46" s="13">
        <f>+'[5]MAY WKSHT'!K69</f>
        <v>38612985.210000001</v>
      </c>
      <c r="N46" s="35"/>
    </row>
    <row r="47" spans="1:15">
      <c r="A47" s="49"/>
      <c r="F47" s="35"/>
      <c r="G47" s="42"/>
      <c r="J47" s="35"/>
      <c r="K47" s="42"/>
      <c r="N47" s="35"/>
    </row>
    <row r="48" spans="1:15">
      <c r="A48" s="53">
        <f>+A24</f>
        <v>0</v>
      </c>
      <c r="B48" s="6" t="str">
        <f>+B24</f>
        <v>CASH BALANCE APRIL 30, 2024</v>
      </c>
      <c r="F48" s="61"/>
      <c r="G48" s="42"/>
      <c r="I48" s="20">
        <f>+'[5]MAY WKSHT'!H71</f>
        <v>48392463.559999995</v>
      </c>
      <c r="J48" s="56"/>
      <c r="K48" s="42"/>
      <c r="M48" s="20"/>
      <c r="N48" s="56"/>
    </row>
    <row r="49" spans="1:15">
      <c r="A49" s="30"/>
      <c r="B49" s="7"/>
      <c r="F49" s="61"/>
      <c r="G49" s="42"/>
      <c r="I49" s="20"/>
      <c r="J49" s="56"/>
      <c r="K49" s="42"/>
      <c r="M49" s="20"/>
      <c r="N49" s="56"/>
    </row>
    <row r="50" spans="1:15">
      <c r="A50" s="54">
        <f>+A26</f>
        <v>0</v>
      </c>
      <c r="B50" s="7" t="str">
        <f>+[3]JUL!B50</f>
        <v>REVENUE DISTRIBUTION INCOME:</v>
      </c>
      <c r="C50" s="1"/>
      <c r="F50" s="61"/>
      <c r="G50" s="42"/>
      <c r="J50" s="35"/>
      <c r="K50" s="42"/>
      <c r="N50" s="35"/>
    </row>
    <row r="51" spans="1:15">
      <c r="A51" s="30"/>
      <c r="B51" s="7"/>
      <c r="C51" s="7" t="str">
        <f>+[3]JUL!C51</f>
        <v>REVENUE DISTRIBUTION</v>
      </c>
      <c r="F51" s="61"/>
      <c r="G51" s="42"/>
      <c r="H51" s="20">
        <f>+'[5]MAY WKSHT'!G76</f>
        <v>5364486.6400000006</v>
      </c>
      <c r="I51"/>
      <c r="J51" s="57"/>
      <c r="K51" s="42"/>
      <c r="L51" s="20">
        <f>+'[5]MAY WKSHT'!J76</f>
        <v>53731775.450000003</v>
      </c>
      <c r="M51"/>
      <c r="N51" s="57"/>
    </row>
    <row r="52" spans="1:15">
      <c r="A52" s="30"/>
      <c r="B52" s="7"/>
      <c r="C52" s="7" t="str">
        <f>+[3]JUL!C52</f>
        <v>REVENUE REFUNDS:  PRIOR YEAR</v>
      </c>
      <c r="F52" s="61"/>
      <c r="G52" s="42"/>
      <c r="H52" s="2">
        <f>+'[5]MAY WKSHT'!G77</f>
        <v>0</v>
      </c>
      <c r="I52"/>
      <c r="J52" s="57"/>
      <c r="K52" s="42"/>
      <c r="L52" s="2">
        <f>+'[5]MAY WKSHT'!J77</f>
        <v>0</v>
      </c>
      <c r="M52"/>
      <c r="N52" s="57"/>
    </row>
    <row r="53" spans="1:15">
      <c r="A53" s="30"/>
      <c r="C53" s="7" t="str">
        <f>+[3]JUL!C53</f>
        <v>REVENUE REFUNDS:  CURRENT YEAR</v>
      </c>
      <c r="F53" s="61"/>
      <c r="G53" s="42"/>
      <c r="H53" s="2">
        <f>+'[5]MAY WKSHT'!G78</f>
        <v>-487.56</v>
      </c>
      <c r="I53"/>
      <c r="J53" s="57"/>
      <c r="K53" s="42"/>
      <c r="L53" s="2">
        <f>+'[5]MAY WKSHT'!J78</f>
        <v>-42601.909999999996</v>
      </c>
      <c r="M53"/>
      <c r="N53" s="57"/>
    </row>
    <row r="54" spans="1:15">
      <c r="A54" s="30"/>
      <c r="B54" s="7"/>
      <c r="C54" s="7" t="str">
        <f>+[3]JUL!C54</f>
        <v>REFUND OF PRIOR YEAR DISBURSEMENTS</v>
      </c>
      <c r="F54" s="61"/>
      <c r="G54" s="42"/>
      <c r="H54" s="2">
        <f>+'[5]MAY WKSHT'!G79</f>
        <v>0</v>
      </c>
      <c r="I54"/>
      <c r="J54" s="57"/>
      <c r="K54" s="42"/>
      <c r="L54" s="2">
        <f>+'[5]MAY WKSHT'!J79</f>
        <v>0</v>
      </c>
      <c r="M54"/>
      <c r="N54" s="57"/>
    </row>
    <row r="55" spans="1:15">
      <c r="A55" s="30"/>
      <c r="C55" s="7" t="str">
        <f>+[3]JUL!C55</f>
        <v>UNHONORED CHECKS</v>
      </c>
      <c r="F55" s="61"/>
      <c r="G55" s="42"/>
      <c r="H55" s="2">
        <f>+'[5]MAY WKSHT'!G80</f>
        <v>0</v>
      </c>
      <c r="I55"/>
      <c r="J55" s="57"/>
      <c r="K55" s="42"/>
      <c r="L55" s="2">
        <f>+'[5]MAY WKSHT'!J80</f>
        <v>0</v>
      </c>
      <c r="M55"/>
      <c r="N55" s="57"/>
    </row>
    <row r="56" spans="1:15">
      <c r="A56" s="30"/>
      <c r="C56" s="7" t="str">
        <f>+[3]JUL!C56</f>
        <v>RECEIPT ADJUSTMENTS</v>
      </c>
      <c r="F56" s="61"/>
      <c r="G56" s="42"/>
      <c r="H56" s="11">
        <f>+'[5]MAY WKSHT'!G81</f>
        <v>-92129.3</v>
      </c>
      <c r="I56" s="2">
        <f>SUM(H51:H56)</f>
        <v>5271869.7800000012</v>
      </c>
      <c r="J56" s="35"/>
      <c r="K56" s="42"/>
      <c r="L56" s="11">
        <f>+'[5]MAY WKSHT'!J81</f>
        <v>-731482</v>
      </c>
      <c r="M56" s="2">
        <f>SUM(L51:L56)</f>
        <v>52957691.540000007</v>
      </c>
      <c r="N56" s="35"/>
    </row>
    <row r="57" spans="1:15">
      <c r="A57" s="30"/>
      <c r="F57" s="61"/>
      <c r="G57" s="42"/>
      <c r="J57" s="35"/>
      <c r="K57" s="42"/>
      <c r="N57" s="35"/>
    </row>
    <row r="58" spans="1:15">
      <c r="A58" s="53">
        <f>+A34</f>
        <v>0</v>
      </c>
      <c r="B58" s="7" t="str">
        <f>+[3]JUL!B58</f>
        <v>INVESTMENT INCOME</v>
      </c>
      <c r="C58" s="1"/>
      <c r="F58" s="61"/>
      <c r="G58" s="42"/>
      <c r="I58" s="2">
        <f>+'[5]MAY WKSHT'!H83</f>
        <v>242422.48</v>
      </c>
      <c r="J58" s="35"/>
      <c r="K58" s="42"/>
      <c r="M58" s="2">
        <f>+'[5]MAY WKSHT'!K83</f>
        <v>1797185.83</v>
      </c>
      <c r="N58" s="35"/>
    </row>
    <row r="59" spans="1:15">
      <c r="A59" s="30"/>
      <c r="F59" s="61"/>
      <c r="G59" s="42"/>
      <c r="J59" s="35"/>
      <c r="K59" s="42"/>
      <c r="N59" s="35"/>
    </row>
    <row r="60" spans="1:15">
      <c r="A60" s="30"/>
      <c r="B60" s="7" t="str">
        <f>+[3]JUL!B60</f>
        <v>OTHER REVENUE</v>
      </c>
      <c r="C60" s="1"/>
      <c r="F60" s="61"/>
      <c r="G60" s="42"/>
      <c r="I60" s="2">
        <f>+'[5]MAY WKSHT'!H85</f>
        <v>0</v>
      </c>
      <c r="J60" s="35"/>
      <c r="K60" s="42"/>
      <c r="M60" s="2">
        <f>+'[5]MAY WKSHT'!K85</f>
        <v>0</v>
      </c>
      <c r="N60" s="35"/>
    </row>
    <row r="61" spans="1:15">
      <c r="A61" s="30"/>
      <c r="F61" s="61"/>
      <c r="G61" s="42"/>
      <c r="J61" s="35"/>
      <c r="K61" s="42"/>
      <c r="N61" s="35"/>
    </row>
    <row r="62" spans="1:15">
      <c r="A62" s="30"/>
      <c r="B62" s="7" t="str">
        <f>+[3]JUL!B62</f>
        <v>EXPENDITURES</v>
      </c>
      <c r="F62" s="61"/>
      <c r="G62" s="42"/>
      <c r="I62" s="11">
        <f>+'[5]MAY WKSHT'!H87</f>
        <v>6453406.1200000048</v>
      </c>
      <c r="J62" s="35"/>
      <c r="K62" s="42"/>
      <c r="M62" s="11">
        <f>+'[5]MAY WKSHT'!K87</f>
        <v>45914512.880000003</v>
      </c>
      <c r="N62" s="35"/>
    </row>
    <row r="63" spans="1:15">
      <c r="A63" s="30"/>
      <c r="F63" s="61"/>
      <c r="G63" s="42"/>
      <c r="J63" s="35"/>
      <c r="K63" s="42"/>
      <c r="N63" s="35"/>
      <c r="O63" s="2">
        <f>+I64-'[5]MAY WKSHT'!H89</f>
        <v>0</v>
      </c>
    </row>
    <row r="64" spans="1:15" ht="13.5" thickBot="1">
      <c r="A64" s="30">
        <f>+A38</f>
        <v>0</v>
      </c>
      <c r="B64" s="7" t="str">
        <f>+B40</f>
        <v>CASH BALANCE MAY 31, 2024</v>
      </c>
      <c r="F64" s="61"/>
      <c r="G64" s="42"/>
      <c r="I64" s="21">
        <f>+I48+I56+I58+I60-I62</f>
        <v>47453349.699999988</v>
      </c>
      <c r="J64" s="56"/>
      <c r="K64" s="42"/>
      <c r="M64" s="21">
        <f>+M46+M56+M58+M60-M62</f>
        <v>47453349.699999996</v>
      </c>
      <c r="N64" s="56"/>
      <c r="O64" s="2">
        <f>+M64-'[5]MAY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5"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M98"/>
  <sheetViews>
    <sheetView zoomScale="90" zoomScaleNormal="90" workbookViewId="0">
      <selection activeCell="H90" sqref="H90"/>
    </sheetView>
  </sheetViews>
  <sheetFormatPr defaultColWidth="9.140625" defaultRowHeight="12.75"/>
  <cols>
    <col min="1" max="3" width="9.140625" style="6"/>
    <col min="4" max="4" width="16.140625" style="6" customWidth="1"/>
    <col min="5" max="5" width="25.7109375" style="6" customWidth="1"/>
    <col min="6" max="7" width="13.140625" style="2" bestFit="1" customWidth="1"/>
    <col min="8" max="8" width="15.5703125" style="2" bestFit="1" customWidth="1"/>
    <col min="9" max="9" width="9.140625" style="2"/>
    <col min="10" max="10" width="15.5703125" style="2" bestFit="1" customWidth="1"/>
    <col min="11" max="11" width="16.140625" style="2" bestFit="1" customWidth="1"/>
    <col min="12" max="12" width="20.28515625" style="2" bestFit="1" customWidth="1"/>
    <col min="13" max="16384" width="9.140625" style="2"/>
  </cols>
  <sheetData>
    <row r="1" spans="1:12" ht="15">
      <c r="A1" s="58" t="s">
        <v>0</v>
      </c>
      <c r="B1" s="3"/>
      <c r="C1" s="3"/>
      <c r="D1" s="3"/>
      <c r="E1" s="3"/>
      <c r="F1" s="3"/>
      <c r="G1" s="3"/>
      <c r="H1" s="3"/>
      <c r="I1" s="3"/>
      <c r="J1" s="3"/>
      <c r="K1" s="3"/>
    </row>
    <row r="2" spans="1:12" ht="15">
      <c r="A2" s="59" t="s">
        <v>1</v>
      </c>
      <c r="B2" s="3"/>
      <c r="C2" s="3"/>
      <c r="D2" s="3"/>
      <c r="E2" s="3"/>
      <c r="F2" s="3"/>
      <c r="G2" s="3"/>
      <c r="H2" s="3"/>
      <c r="I2" s="3"/>
      <c r="J2" s="3"/>
      <c r="K2" s="3"/>
    </row>
    <row r="3" spans="1:12" ht="15">
      <c r="A3" s="58" t="s">
        <v>2</v>
      </c>
      <c r="B3" s="3"/>
      <c r="C3" s="3"/>
      <c r="D3" s="3"/>
      <c r="E3" s="3"/>
      <c r="F3" s="3"/>
      <c r="G3" s="3"/>
      <c r="H3" s="3"/>
      <c r="I3" s="3"/>
      <c r="J3" s="3"/>
      <c r="K3" s="3"/>
    </row>
    <row r="4" spans="1:12" ht="15">
      <c r="A4" s="137" t="s">
        <v>117</v>
      </c>
      <c r="B4" s="143"/>
      <c r="C4" s="143"/>
      <c r="D4" s="143"/>
      <c r="E4" s="143"/>
      <c r="F4" s="143"/>
      <c r="G4" s="3"/>
      <c r="H4" s="3"/>
      <c r="I4" s="3"/>
      <c r="J4" s="3"/>
      <c r="K4" s="3"/>
    </row>
    <row r="5" spans="1:12" ht="13.5" thickBot="1">
      <c r="A5" s="17"/>
      <c r="B5" s="17"/>
      <c r="C5" s="17"/>
      <c r="D5" s="17"/>
      <c r="E5" s="17"/>
      <c r="F5" s="17"/>
      <c r="G5" s="17"/>
      <c r="H5" s="17"/>
      <c r="I5" s="17"/>
      <c r="J5" s="17"/>
      <c r="K5" s="17"/>
    </row>
    <row r="7" spans="1:12">
      <c r="B7" s="4"/>
      <c r="C7" s="4"/>
      <c r="D7" s="4"/>
      <c r="G7" s="5" t="s">
        <v>3</v>
      </c>
      <c r="H7" s="5"/>
      <c r="I7" s="383"/>
      <c r="J7" s="5" t="s">
        <v>4</v>
      </c>
      <c r="K7" s="76"/>
      <c r="L7" s="64" t="s">
        <v>5</v>
      </c>
    </row>
    <row r="8" spans="1:12">
      <c r="A8" s="9" t="str">
        <f>+'[4]MAY WKSHT'!A8</f>
        <v>DEPARTMENT OF REVENUE SURTAX RECEIPTS COLLECTED (14E6-130-D130-R000-R284, R285, R286)</v>
      </c>
    </row>
    <row r="9" spans="1:12">
      <c r="B9" s="7" t="str">
        <f>+'[4]MAY WKSHT'!B9</f>
        <v>GROSS RECEIPTS (REVENUE DISTRIBUTION)</v>
      </c>
      <c r="C9" s="7"/>
      <c r="E9"/>
    </row>
    <row r="10" spans="1:12">
      <c r="B10" s="7"/>
      <c r="C10" s="7" t="str">
        <f>+'[4]MAY WKSHT'!C10</f>
        <v>VOLUNTEER FIRE DEPARTMENT AID</v>
      </c>
      <c r="E10"/>
    </row>
    <row r="11" spans="1:12">
      <c r="D11" s="7" t="str">
        <f>+'[4]MAY WKSHT'!D11</f>
        <v>R284 Volunteer Fire Dept Aid Fund</v>
      </c>
      <c r="E11"/>
      <c r="H11" s="132">
        <v>2343388.87</v>
      </c>
      <c r="K11" s="74">
        <f>+H11+'MAY WKSHT'!K11</f>
        <v>26939334.709999997</v>
      </c>
    </row>
    <row r="12" spans="1:12">
      <c r="C12" s="7" t="str">
        <f>+'[4]MAY WKSHT'!C12</f>
        <v>LAW ENFORCEMENT AND FIREFIGHTERS FUND</v>
      </c>
      <c r="D12" s="1"/>
      <c r="E12"/>
      <c r="G12" s="74"/>
      <c r="J12" s="74"/>
    </row>
    <row r="13" spans="1:12">
      <c r="D13" s="7" t="str">
        <f>+'[4]MAY WKSHT'!D13</f>
        <v>R285 Law Enforcement Fund</v>
      </c>
      <c r="E13"/>
      <c r="F13" s="74"/>
      <c r="G13" s="132">
        <v>9967884.5999999996</v>
      </c>
      <c r="J13" s="74">
        <f>+G13+'MAY WKSHT'!J13</f>
        <v>113267643.28999999</v>
      </c>
    </row>
    <row r="14" spans="1:12">
      <c r="D14" s="7" t="str">
        <f>+'[4]MAY WKSHT'!D14</f>
        <v>R286 Firefighters Fund</v>
      </c>
      <c r="E14"/>
      <c r="G14" s="132">
        <v>2811454.62</v>
      </c>
      <c r="H14" s="11">
        <f>SUM(G13:G14)</f>
        <v>12779339.219999999</v>
      </c>
      <c r="I14" s="74"/>
      <c r="J14" s="11">
        <f>+G14+'MAY WKSHT'!J14</f>
        <v>31947284.23</v>
      </c>
      <c r="K14" s="11">
        <f>SUM(J13:J14)</f>
        <v>145214927.51999998</v>
      </c>
    </row>
    <row r="15" spans="1:12">
      <c r="D15" s="1"/>
      <c r="E15"/>
      <c r="G15" s="65"/>
      <c r="H15" s="74">
        <f>SUM(H11:H14)</f>
        <v>15122728.09</v>
      </c>
      <c r="I15" s="74"/>
      <c r="K15" s="74">
        <f>SUM(K11:K14)</f>
        <v>172154262.22999999</v>
      </c>
      <c r="L15" s="2">
        <f>+J51+J76-K15</f>
        <v>0</v>
      </c>
    </row>
    <row r="16" spans="1:12">
      <c r="D16" s="1"/>
      <c r="E16"/>
      <c r="G16" s="65"/>
      <c r="H16" s="74"/>
      <c r="I16" s="74"/>
      <c r="K16" s="74"/>
    </row>
    <row r="17" spans="2:12">
      <c r="B17" s="7" t="str">
        <f>+'[4]MAY WKSHT'!B17</f>
        <v>OTHER DISTRIBUTIONS (review JVs other than Revenue Distribution)</v>
      </c>
      <c r="D17" s="1"/>
      <c r="E17"/>
      <c r="G17" s="19"/>
      <c r="H17" s="74"/>
      <c r="I17" s="74"/>
      <c r="K17" s="74"/>
    </row>
    <row r="18" spans="2:12">
      <c r="B18"/>
      <c r="C18" s="7" t="str">
        <f>+'[4]MAY WKSHT'!C18</f>
        <v>REVENUE REFUNDS</v>
      </c>
      <c r="D18" s="7"/>
      <c r="E18"/>
    </row>
    <row r="19" spans="2:12">
      <c r="B19"/>
      <c r="C19" s="7"/>
      <c r="D19" s="7" t="str">
        <f>+'[4]MAY WKSHT'!D19</f>
        <v>R284</v>
      </c>
      <c r="E19"/>
      <c r="G19" s="131"/>
      <c r="J19" s="74">
        <f>+G19+'MAY WKSHT'!J19</f>
        <v>0</v>
      </c>
    </row>
    <row r="20" spans="2:12">
      <c r="B20"/>
      <c r="C20" s="7"/>
      <c r="D20" s="7" t="str">
        <f>+'[4]MAY WKSHT'!D20</f>
        <v>R285</v>
      </c>
      <c r="E20"/>
      <c r="G20" s="133">
        <v>-109.62</v>
      </c>
      <c r="J20" s="2">
        <f>+G20+'MAY WKSHT'!J20</f>
        <v>-162656.24</v>
      </c>
    </row>
    <row r="21" spans="2:12">
      <c r="B21"/>
      <c r="C21" s="7"/>
      <c r="D21" s="7" t="str">
        <f>+'[4]MAY WKSHT'!D21</f>
        <v>R286</v>
      </c>
      <c r="E21"/>
      <c r="G21" s="130">
        <v>-30.92</v>
      </c>
      <c r="H21" s="2">
        <f>SUM(G19:G21)</f>
        <v>-140.54000000000002</v>
      </c>
      <c r="J21" s="11">
        <f>+G21+'MAY WKSHT'!J21</f>
        <v>-45877.38</v>
      </c>
      <c r="K21" s="2">
        <f>SUM(J19:J21)</f>
        <v>-208533.62</v>
      </c>
      <c r="L21" s="2">
        <f>+J52+J53+J77+J78-K21</f>
        <v>140.54000000000815</v>
      </c>
    </row>
    <row r="22" spans="2:12">
      <c r="B22"/>
      <c r="C22" s="7" t="str">
        <f>+'[4]MAY WKSHT'!C22</f>
        <v>UNHONORED CHECKS</v>
      </c>
      <c r="E22"/>
      <c r="F22" s="2" t="s">
        <v>32</v>
      </c>
    </row>
    <row r="23" spans="2:12">
      <c r="B23"/>
      <c r="D23" s="7" t="str">
        <f>+'[4]MAY WKSHT'!D23</f>
        <v>R284</v>
      </c>
      <c r="E23"/>
      <c r="G23" s="131"/>
      <c r="J23" s="74">
        <f>+G23+'MAY WKSHT'!J23</f>
        <v>0</v>
      </c>
    </row>
    <row r="24" spans="2:12">
      <c r="B24"/>
      <c r="D24" s="7" t="str">
        <f>+'[4]MAY WKSHT'!D24</f>
        <v>R285</v>
      </c>
      <c r="E24"/>
      <c r="G24" s="133"/>
      <c r="J24" s="2">
        <f>+G24+'MAY WKSHT'!J24</f>
        <v>0</v>
      </c>
    </row>
    <row r="25" spans="2:12">
      <c r="B25"/>
      <c r="D25" s="7" t="str">
        <f>+'[4]MAY WKSHT'!D25</f>
        <v>R286</v>
      </c>
      <c r="E25"/>
      <c r="G25" s="130"/>
      <c r="H25" s="2">
        <f>SUM(G23:G25)</f>
        <v>0</v>
      </c>
      <c r="J25" s="11">
        <f>+G25+'MAY WKSHT'!J25</f>
        <v>0</v>
      </c>
      <c r="K25" s="2">
        <f>SUM(J23:J25)</f>
        <v>0</v>
      </c>
      <c r="L25" s="2">
        <f>+J55+J80-K25</f>
        <v>0</v>
      </c>
    </row>
    <row r="26" spans="2:12">
      <c r="B26"/>
      <c r="C26" s="7" t="str">
        <f>+'[4]MAY WKSHT'!C26</f>
        <v>RECEIPT ADJUSTMENTS</v>
      </c>
      <c r="E26"/>
      <c r="H26" s="177"/>
      <c r="I26" s="177"/>
    </row>
    <row r="27" spans="2:12">
      <c r="B27"/>
      <c r="D27" s="7" t="str">
        <f>+'[4]MAY WKSHT'!D27</f>
        <v>R284</v>
      </c>
      <c r="E27"/>
      <c r="G27" s="131"/>
      <c r="J27" s="74">
        <f>+G27+'MAY WKSHT'!J27</f>
        <v>-912610.70000000007</v>
      </c>
    </row>
    <row r="28" spans="2:12">
      <c r="B28"/>
      <c r="D28" s="7" t="str">
        <f>+'[4]MAY WKSHT'!D28</f>
        <v>R285</v>
      </c>
      <c r="E28"/>
      <c r="G28" s="131">
        <v>-179.83</v>
      </c>
      <c r="J28" s="2">
        <f>+G28+'MAY WKSHT'!J28</f>
        <v>642003.80000000005</v>
      </c>
    </row>
    <row r="29" spans="2:12">
      <c r="B29"/>
      <c r="D29" s="7" t="str">
        <f>+'[4]MAY WKSHT'!D29</f>
        <v>R286</v>
      </c>
      <c r="E29"/>
      <c r="G29" s="248">
        <v>-50.72</v>
      </c>
      <c r="H29" s="11">
        <f>SUM(G27:G29)</f>
        <v>-230.55</v>
      </c>
      <c r="J29" s="11">
        <f>+G29+'MAY WKSHT'!J29</f>
        <v>181077.97999999998</v>
      </c>
      <c r="K29" s="11">
        <f>SUM(J27:J29)</f>
        <v>-89528.920000000042</v>
      </c>
      <c r="L29" s="2">
        <f>+J56+J81-K29</f>
        <v>0</v>
      </c>
    </row>
    <row r="30" spans="2:12" ht="13.5" thickBot="1">
      <c r="B30"/>
      <c r="D30" s="7" t="str">
        <f>+'[4]MAY WKSHT'!D30</f>
        <v>NET RECEIPTS TO BE DISTRIBUTED</v>
      </c>
      <c r="E30"/>
      <c r="H30" s="78">
        <f>SUM(H15:H29)</f>
        <v>15122357</v>
      </c>
      <c r="I30" s="65"/>
      <c r="K30" s="78">
        <f>SUM(K15:K29)</f>
        <v>171856199.69</v>
      </c>
    </row>
    <row r="32" spans="2:12">
      <c r="B32" s="7" t="str">
        <f>+'[4]MAY WKSHT'!B32</f>
        <v>TOTAL</v>
      </c>
      <c r="D32"/>
    </row>
    <row r="33" spans="1:12">
      <c r="C33" s="7" t="str">
        <f>+'[4]MAY WKSHT'!C33</f>
        <v>R284</v>
      </c>
      <c r="D33"/>
      <c r="G33" s="74">
        <f>+G27+G23+G19+H11</f>
        <v>2343388.87</v>
      </c>
      <c r="J33" s="74">
        <f>+J27+J23+J19+K11</f>
        <v>26026724.009999998</v>
      </c>
    </row>
    <row r="34" spans="1:12">
      <c r="C34" s="7" t="str">
        <f>+'[4]MAY WKSHT'!C34</f>
        <v>R285</v>
      </c>
      <c r="D34"/>
      <c r="G34" s="2">
        <f>+G28+G24+G20+G13</f>
        <v>9967595.1500000004</v>
      </c>
      <c r="J34" s="2">
        <f>+J28+J24+J20+J13</f>
        <v>113746990.84999999</v>
      </c>
    </row>
    <row r="35" spans="1:12">
      <c r="C35" s="7" t="str">
        <f>+'[4]MAY WKSHT'!C35</f>
        <v>R286</v>
      </c>
      <c r="D35"/>
      <c r="G35" s="11">
        <f>+G29+G25+G21+G14</f>
        <v>2811372.98</v>
      </c>
      <c r="H35" s="74">
        <f>SUM(G33:G35)</f>
        <v>15122357</v>
      </c>
      <c r="J35" s="11">
        <f>+J29+J25+J21+J14</f>
        <v>32082484.830000002</v>
      </c>
      <c r="K35" s="74">
        <f>SUM(J33:J35)</f>
        <v>171856199.69</v>
      </c>
    </row>
    <row r="36" spans="1:12" ht="15">
      <c r="G36" s="405"/>
      <c r="H36" s="405"/>
    </row>
    <row r="37" spans="1:12">
      <c r="C37" s="212" t="s">
        <v>60</v>
      </c>
      <c r="D37" s="212"/>
      <c r="E37" s="212"/>
      <c r="F37" s="212"/>
      <c r="G37" s="392" t="s">
        <v>61</v>
      </c>
      <c r="H37" s="381">
        <v>2500000074</v>
      </c>
      <c r="K37" s="214"/>
      <c r="L37"/>
    </row>
    <row r="38" spans="1:12">
      <c r="C38" s="212"/>
      <c r="D38" s="227"/>
      <c r="E38" s="212" t="s">
        <v>59</v>
      </c>
      <c r="F38" s="212"/>
      <c r="G38" s="212"/>
      <c r="H38" s="165">
        <f>SUM(G39:G41)</f>
        <v>-140.54000000000002</v>
      </c>
      <c r="J38" s="395"/>
      <c r="K38" s="395"/>
      <c r="L38" s="395"/>
    </row>
    <row r="39" spans="1:12">
      <c r="C39" s="212"/>
      <c r="D39" s="227"/>
      <c r="E39" s="227" t="s">
        <v>66</v>
      </c>
      <c r="F39" s="212"/>
      <c r="G39" s="165">
        <f>G19</f>
        <v>0</v>
      </c>
      <c r="H39" s="212"/>
      <c r="J39" s="395"/>
      <c r="K39" s="395"/>
      <c r="L39" s="395"/>
    </row>
    <row r="40" spans="1:12">
      <c r="C40" s="212"/>
      <c r="D40" s="212"/>
      <c r="E40" s="227" t="s">
        <v>65</v>
      </c>
      <c r="F40" s="227"/>
      <c r="G40" s="165">
        <f>G20</f>
        <v>-109.62</v>
      </c>
      <c r="H40" s="212"/>
      <c r="J40" s="395"/>
      <c r="K40" s="395"/>
      <c r="L40" s="395"/>
    </row>
    <row r="41" spans="1:12">
      <c r="C41" s="212"/>
      <c r="D41" s="212"/>
      <c r="E41" s="227" t="s">
        <v>66</v>
      </c>
      <c r="F41" s="212"/>
      <c r="G41" s="165">
        <f>G21</f>
        <v>-30.92</v>
      </c>
      <c r="H41" s="212"/>
      <c r="J41" s="395"/>
      <c r="K41" s="395"/>
      <c r="L41" s="395"/>
    </row>
    <row r="42" spans="1:12">
      <c r="C42" s="379" t="s">
        <v>72</v>
      </c>
      <c r="D42" s="212"/>
      <c r="E42" s="227"/>
      <c r="F42" s="212"/>
      <c r="G42" s="212"/>
      <c r="H42" s="212"/>
      <c r="J42" s="395"/>
      <c r="K42" s="395"/>
      <c r="L42" s="395"/>
    </row>
    <row r="43" spans="1:12">
      <c r="C43" s="379"/>
      <c r="D43" s="212"/>
      <c r="E43" s="227"/>
      <c r="F43" s="212"/>
      <c r="G43" s="212"/>
      <c r="H43" s="212"/>
      <c r="J43" s="395"/>
      <c r="K43" s="395"/>
      <c r="L43" s="395"/>
    </row>
    <row r="44" spans="1:12">
      <c r="E44" s="7"/>
    </row>
    <row r="45" spans="1:12">
      <c r="A45" s="9" t="str">
        <f>+'[4]MAY WKSHT'!A45</f>
        <v>LAW ENFORCEMENT FOUNDATION FUND (13DB-525-0000)</v>
      </c>
    </row>
    <row r="46" spans="1:12">
      <c r="A46" s="9"/>
      <c r="B46" s="7" t="str">
        <f>+'[4]MAY WKSHT'!B46</f>
        <v>BALANCE FORWARDED FROM FISCAL YEAR 2023</v>
      </c>
      <c r="K46" s="74">
        <f>+'MAY WKSHT'!K46</f>
        <v>73871638.640000001</v>
      </c>
    </row>
    <row r="47" spans="1:12">
      <c r="A47" s="9"/>
      <c r="K47" s="74"/>
    </row>
    <row r="48" spans="1:12">
      <c r="B48" s="10" t="str">
        <f>+'[4]MAY WKSHT'!B66</f>
        <v>CASH BALANCE MAY 31, 2024</v>
      </c>
      <c r="H48" s="108">
        <f>+'MAY WKSHT'!H66</f>
        <v>106412465.88000001</v>
      </c>
      <c r="I48" s="74"/>
    </row>
    <row r="49" spans="2:12">
      <c r="B49" s="7"/>
      <c r="H49" s="74"/>
      <c r="I49" s="74"/>
    </row>
    <row r="50" spans="2:12">
      <c r="B50" s="7" t="str">
        <f>+'[4]MAY WKSHT'!B50</f>
        <v>REVENUE DISTRIBUTION INCOME (REVENUE DETAIL WORKSHEET):</v>
      </c>
      <c r="H50" s="67" t="s">
        <v>63</v>
      </c>
      <c r="K50" s="67" t="s">
        <v>63</v>
      </c>
      <c r="L50" s="396"/>
    </row>
    <row r="51" spans="2:12">
      <c r="C51" s="7" t="str">
        <f>+'[4]MAY WKSHT'!C51</f>
        <v>REVENUE DISTRIBUTION (N114)</v>
      </c>
      <c r="G51" s="133">
        <v>9967884.5999999996</v>
      </c>
      <c r="H51" s="66">
        <f>+H14*0.78</f>
        <v>9967884.591599999</v>
      </c>
      <c r="J51" s="74">
        <f>+G51+'MAY WKSHT'!J51</f>
        <v>113267643.28999999</v>
      </c>
      <c r="K51" s="66">
        <f>+K14*0.78</f>
        <v>113267643.46559998</v>
      </c>
      <c r="L51" s="177"/>
    </row>
    <row r="52" spans="2:12">
      <c r="C52" s="7" t="str">
        <f>+'[4]MAY WKSHT'!C52</f>
        <v>REVENUE REFUNDS:  PRIOR YEAR</v>
      </c>
      <c r="G52" s="133"/>
      <c r="J52" s="2">
        <f>+G52+'MAY WKSHT'!J52</f>
        <v>0</v>
      </c>
    </row>
    <row r="53" spans="2:12">
      <c r="C53" s="7" t="str">
        <f>+'[4]MAY WKSHT'!C53</f>
        <v>REVENUE REFUNDS:  CURRENT YEAR</v>
      </c>
      <c r="G53" s="133">
        <v>-11503.39</v>
      </c>
      <c r="J53" s="2">
        <f>+G53+'MAY WKSHT'!J53</f>
        <v>-162546.62</v>
      </c>
    </row>
    <row r="54" spans="2:12">
      <c r="C54" s="7" t="str">
        <f>+'[4]MAY WKSHT'!C54</f>
        <v>REFUND OF PRIOR YEAR DISBURSEMENTS (R881)</v>
      </c>
      <c r="G54" s="133"/>
      <c r="J54" s="2">
        <f>+G54+'MAY WKSHT'!J54</f>
        <v>0</v>
      </c>
    </row>
    <row r="55" spans="2:12">
      <c r="C55" s="7" t="str">
        <f>+'[4]MAY WKSHT'!C55</f>
        <v>UNHONORED CHECKS</v>
      </c>
      <c r="G55" s="133"/>
      <c r="J55" s="2">
        <f>+G55+'MAY WKSHT'!J55</f>
        <v>0</v>
      </c>
    </row>
    <row r="56" spans="2:12">
      <c r="C56" s="7" t="str">
        <f>+'[4]MAY WKSHT'!C56</f>
        <v>RECEIPT ADJUSTMENTS</v>
      </c>
      <c r="G56" s="130">
        <v>-230.55</v>
      </c>
      <c r="H56" s="2">
        <f>SUM(G51:G56)</f>
        <v>9956150.6599999983</v>
      </c>
      <c r="J56" s="11">
        <f>+G56+'MAY WKSHT'!J56</f>
        <v>641953.07999999996</v>
      </c>
      <c r="K56" s="2">
        <f>SUM(J51:J56)</f>
        <v>113747049.74999999</v>
      </c>
    </row>
    <row r="58" spans="2:12">
      <c r="B58" s="7" t="str">
        <f>+'[4]MAY WKSHT'!B58</f>
        <v>INVESTMENT INCOME (R771)</v>
      </c>
      <c r="C58"/>
      <c r="H58" s="133">
        <v>426160.82</v>
      </c>
      <c r="K58" s="2">
        <f>+H58+'MAY WKSHT'!K58</f>
        <v>4471782.5999999996</v>
      </c>
    </row>
    <row r="59" spans="2:12">
      <c r="L59" s="193" t="s">
        <v>50</v>
      </c>
    </row>
    <row r="60" spans="2:12">
      <c r="B60" s="7" t="str">
        <f>+'[4]MAY WKSHT'!B60</f>
        <v>OTHER REVENUE</v>
      </c>
      <c r="H60" s="133"/>
      <c r="K60" s="2">
        <f>+H60+'MAY WKSHT'!K60</f>
        <v>12931.36</v>
      </c>
      <c r="L60" s="297">
        <f>1858225.93+'MAY WKSHT'!L60</f>
        <v>34257437.960000001</v>
      </c>
    </row>
    <row r="61" spans="2:12">
      <c r="L61" s="173" t="s">
        <v>54</v>
      </c>
    </row>
    <row r="62" spans="2:12">
      <c r="B62" s="7" t="str">
        <f>+'[1]MAR WKSHT'!B62</f>
        <v>EXPENDITURES (LAW ENFORCEMENT SUMMARY)</v>
      </c>
      <c r="L62" s="173">
        <f>+K46</f>
        <v>73871638.640000001</v>
      </c>
    </row>
    <row r="63" spans="2:12">
      <c r="B63" s="7"/>
      <c r="C63" s="6" t="str">
        <f>+'[1]AUG WKSHT'!C63</f>
        <v>CASH EXPENDITURES</v>
      </c>
      <c r="H63" s="177"/>
      <c r="I63" s="177"/>
      <c r="J63" s="249">
        <v>83974325.75</v>
      </c>
      <c r="K63" s="177"/>
      <c r="L63" s="173" t="s">
        <v>55</v>
      </c>
    </row>
    <row r="64" spans="2:12">
      <c r="B64" s="7"/>
      <c r="C64" s="6" t="str">
        <f>+'[1]AUG WKSHT'!C64</f>
        <v>ACCRUED EXPENDITURES</v>
      </c>
      <c r="H64" s="183">
        <f>+K64-'MAY WKSHT'!K64</f>
        <v>8522896.1299999952</v>
      </c>
      <c r="I64" s="177"/>
      <c r="J64" s="249">
        <v>-142804.63</v>
      </c>
      <c r="K64" s="183">
        <f>SUM(J63:J64)</f>
        <v>83831521.120000005</v>
      </c>
      <c r="L64" s="173">
        <f>+J64</f>
        <v>-142804.63</v>
      </c>
    </row>
    <row r="65" spans="1:13">
      <c r="L65" s="173" t="s">
        <v>53</v>
      </c>
      <c r="M65" s="177" t="s">
        <v>70</v>
      </c>
    </row>
    <row r="66" spans="1:13" ht="13.5" thickBot="1">
      <c r="B66" s="369" t="s">
        <v>118</v>
      </c>
      <c r="C66" s="144"/>
      <c r="D66" s="144"/>
      <c r="E66" s="144"/>
      <c r="H66" s="79">
        <f>+H48+H56+H58+H60-H64</f>
        <v>108271881.23</v>
      </c>
      <c r="K66" s="119">
        <f>+K46+K56+K58+K60-K64</f>
        <v>108271881.22999999</v>
      </c>
      <c r="L66" s="213">
        <f>+L62-L64+L60</f>
        <v>108271881.22999999</v>
      </c>
      <c r="M66" s="177">
        <f>L66-K66</f>
        <v>0</v>
      </c>
    </row>
    <row r="67" spans="1:13">
      <c r="L67" s="177"/>
      <c r="M67" s="177"/>
    </row>
    <row r="68" spans="1:13">
      <c r="A68" s="9" t="str">
        <f>+'[4]MAY WKSHT'!A68</f>
        <v>FIREFIGHTERS FOUNDATION FUND (1341-470-UNIT-PK00)</v>
      </c>
      <c r="M68" s="177"/>
    </row>
    <row r="69" spans="1:13">
      <c r="A69" s="7"/>
      <c r="B69" s="6" t="str">
        <f>+B46</f>
        <v>BALANCE FORWARDED FROM FISCAL YEAR 2023</v>
      </c>
      <c r="K69" s="74">
        <f>+'MAY WKSHT'!K69</f>
        <v>38612985.210000001</v>
      </c>
      <c r="M69" s="177"/>
    </row>
    <row r="70" spans="1:13">
      <c r="A70" s="9"/>
      <c r="K70" s="74"/>
      <c r="M70" s="177"/>
    </row>
    <row r="71" spans="1:13">
      <c r="B71" s="7" t="str">
        <f>+B48</f>
        <v>CASH BALANCE MAY 31, 2024</v>
      </c>
      <c r="H71" s="108">
        <f>+'MAY WKSHT'!H89</f>
        <v>47453349.699999988</v>
      </c>
      <c r="I71" s="74"/>
      <c r="M71" s="177"/>
    </row>
    <row r="72" spans="1:13">
      <c r="B72" s="7"/>
      <c r="H72" s="74"/>
      <c r="I72" s="74"/>
      <c r="M72" s="177"/>
    </row>
    <row r="73" spans="1:13">
      <c r="B73" s="10" t="str">
        <f>+B50</f>
        <v>REVENUE DISTRIBUTION INCOME (REVENUE DETAIL WORKSHEET):</v>
      </c>
      <c r="M73" s="177"/>
    </row>
    <row r="74" spans="1:13">
      <c r="C74" s="7" t="str">
        <f>+C51</f>
        <v>REVENUE DISTRIBUTION (N114)</v>
      </c>
      <c r="H74" s="67" t="s">
        <v>64</v>
      </c>
      <c r="K74" s="67"/>
      <c r="M74" s="177"/>
    </row>
    <row r="75" spans="1:13">
      <c r="C75" s="7"/>
      <c r="D75" s="7" t="str">
        <f>+'[4]MAY WKSHT'!D75</f>
        <v>FIREFIGHTERS FUND</v>
      </c>
      <c r="F75" s="133">
        <v>2811454.62</v>
      </c>
      <c r="G75" s="74"/>
      <c r="H75" s="66">
        <f>+H14*0.22</f>
        <v>2811454.6283999998</v>
      </c>
      <c r="J75" s="74"/>
      <c r="K75" s="66"/>
      <c r="L75" s="169" t="s">
        <v>43</v>
      </c>
      <c r="M75" s="177"/>
    </row>
    <row r="76" spans="1:13">
      <c r="C76" s="7"/>
      <c r="D76" s="7" t="str">
        <f>+'[4]MAY WKSHT'!D76</f>
        <v>VOLUNTEER FIRE DEPT AID</v>
      </c>
      <c r="F76" s="133">
        <v>2343388.87</v>
      </c>
      <c r="G76" s="74">
        <f>SUM(F75:F76)</f>
        <v>5154843.49</v>
      </c>
      <c r="J76" s="74">
        <f>+G76+'MAY WKSHT'!J76</f>
        <v>58886618.940000005</v>
      </c>
      <c r="L76" s="173">
        <f>+K11+J14</f>
        <v>58886618.939999998</v>
      </c>
      <c r="M76" s="177"/>
    </row>
    <row r="77" spans="1:13">
      <c r="C77" s="7" t="str">
        <f>+C52</f>
        <v>REVENUE REFUNDS:  PRIOR YEAR</v>
      </c>
      <c r="G77" s="133"/>
      <c r="J77" s="2">
        <f>+G77+'MAY WKSHT'!J77</f>
        <v>0</v>
      </c>
      <c r="L77" s="198" t="s">
        <v>44</v>
      </c>
      <c r="M77" s="177"/>
    </row>
    <row r="78" spans="1:13">
      <c r="C78" s="6" t="str">
        <f>+C53</f>
        <v>REVENUE REFUNDS:  CURRENT YEAR</v>
      </c>
      <c r="G78" s="133">
        <v>-3244.55</v>
      </c>
      <c r="J78" s="2">
        <f>+G78+'MAY WKSHT'!J78</f>
        <v>-45846.46</v>
      </c>
      <c r="L78" s="397">
        <f>+J76-L76</f>
        <v>0</v>
      </c>
      <c r="M78" s="177"/>
    </row>
    <row r="79" spans="1:13">
      <c r="C79" s="7" t="str">
        <f>+C54</f>
        <v>REFUND OF PRIOR YEAR DISBURSEMENTS (R881)</v>
      </c>
      <c r="G79" s="133"/>
      <c r="J79" s="2">
        <f>+G79+'MAY WKSHT'!J79</f>
        <v>0</v>
      </c>
      <c r="M79" s="177"/>
    </row>
    <row r="80" spans="1:13">
      <c r="C80" s="6" t="str">
        <f>+C55</f>
        <v>UNHONORED CHECKS</v>
      </c>
      <c r="G80" s="133"/>
      <c r="J80" s="2">
        <f>+G80+'MAY WKSHT'!J80</f>
        <v>0</v>
      </c>
      <c r="M80" s="177"/>
    </row>
    <row r="81" spans="1:13">
      <c r="C81" s="6" t="str">
        <f>+C56</f>
        <v>RECEIPT ADJUSTMENTS</v>
      </c>
      <c r="G81" s="133"/>
      <c r="H81" s="2">
        <f>SUM(G75:G81)</f>
        <v>5151598.9400000004</v>
      </c>
      <c r="J81" s="11">
        <f>+G81+'MAY WKSHT'!J81</f>
        <v>-731482</v>
      </c>
      <c r="K81" s="2">
        <f>SUM(J76:J81)</f>
        <v>58109290.480000004</v>
      </c>
      <c r="M81" s="177"/>
    </row>
    <row r="82" spans="1:13">
      <c r="M82" s="177"/>
    </row>
    <row r="83" spans="1:13">
      <c r="B83" s="7" t="str">
        <f>+B58</f>
        <v>INVESTMENT INCOME (R771)</v>
      </c>
      <c r="C83"/>
      <c r="H83" s="133">
        <v>209550.04</v>
      </c>
      <c r="K83" s="2">
        <f>+H83+'MAY WKSHT'!K83</f>
        <v>2006735.87</v>
      </c>
      <c r="M83" s="177"/>
    </row>
    <row r="84" spans="1:13">
      <c r="L84" s="193" t="s">
        <v>50</v>
      </c>
      <c r="M84" s="177"/>
    </row>
    <row r="85" spans="1:13">
      <c r="B85" s="7" t="str">
        <f>+B60</f>
        <v>OTHER REVENUE</v>
      </c>
      <c r="C85"/>
      <c r="H85" s="133"/>
      <c r="K85" s="2">
        <f>+H85+'MAY WKSHT'!K85</f>
        <v>0</v>
      </c>
      <c r="L85" s="298">
        <f>2105259.94+'MAY WKSHT'!L85</f>
        <v>10945624.430000002</v>
      </c>
      <c r="M85" s="177"/>
    </row>
    <row r="86" spans="1:13">
      <c r="L86" s="173" t="s">
        <v>54</v>
      </c>
      <c r="M86" s="177"/>
    </row>
    <row r="87" spans="1:13">
      <c r="B87" s="7" t="str">
        <f>+'[4]MAY WKSHT'!B87</f>
        <v>EXPENDITURES (FIREFIGHTERS SUMMARY)</v>
      </c>
      <c r="H87" s="183">
        <f>+K87-'MAY WKSHT'!K87</f>
        <v>3255889.0399999991</v>
      </c>
      <c r="K87" s="133">
        <v>49170401.920000002</v>
      </c>
      <c r="L87" s="173">
        <f>+K69</f>
        <v>38612985.210000001</v>
      </c>
      <c r="M87" s="177"/>
    </row>
    <row r="88" spans="1:13">
      <c r="L88" s="173" t="s">
        <v>53</v>
      </c>
      <c r="M88" s="177" t="s">
        <v>70</v>
      </c>
    </row>
    <row r="89" spans="1:13" ht="13.5" thickBot="1">
      <c r="B89" s="6" t="str">
        <f>+B66</f>
        <v>CASH BALANCE JUNE 30, 2024</v>
      </c>
      <c r="H89" s="79">
        <f>+H71+H81+H83+H85-H87</f>
        <v>49558609.639999986</v>
      </c>
      <c r="K89" s="119">
        <f>+K69+K81+K83+K85-K87</f>
        <v>49558609.640000001</v>
      </c>
      <c r="L89" s="213">
        <f>+L85+L87</f>
        <v>49558609.640000001</v>
      </c>
      <c r="M89" s="177">
        <f>L89-K89</f>
        <v>0</v>
      </c>
    </row>
    <row r="90" spans="1:13">
      <c r="A90" s="2"/>
      <c r="B90" s="2"/>
      <c r="C90" s="2"/>
      <c r="D90" s="2"/>
      <c r="E90" s="2"/>
    </row>
    <row r="91" spans="1:13" ht="15.75">
      <c r="B91" s="287" t="s">
        <v>69</v>
      </c>
      <c r="C91" s="288"/>
      <c r="D91" s="288"/>
      <c r="E91" s="288"/>
      <c r="F91" s="288"/>
      <c r="G91" s="207"/>
      <c r="H91" s="207"/>
      <c r="I91" s="207"/>
      <c r="J91" s="207"/>
      <c r="K91" s="207"/>
      <c r="L91" s="207"/>
    </row>
    <row r="92" spans="1:13" ht="15.75">
      <c r="B92" s="287"/>
      <c r="C92" s="288"/>
      <c r="D92" s="289" t="s">
        <v>75</v>
      </c>
      <c r="E92" s="288"/>
      <c r="F92" s="288"/>
      <c r="G92" s="207"/>
      <c r="H92" s="207"/>
      <c r="I92" s="207"/>
      <c r="J92" s="207"/>
      <c r="K92" s="207"/>
      <c r="L92" s="207"/>
      <c r="M92" s="177"/>
    </row>
    <row r="93" spans="1:13">
      <c r="B93" s="288"/>
      <c r="C93" s="288"/>
      <c r="D93" s="376" t="s">
        <v>119</v>
      </c>
      <c r="E93" s="296"/>
      <c r="F93" s="291"/>
      <c r="G93" s="375"/>
      <c r="H93" s="292"/>
      <c r="I93" s="207"/>
      <c r="J93" s="207"/>
      <c r="K93" s="207"/>
      <c r="L93" s="207"/>
    </row>
    <row r="94" spans="1:13">
      <c r="B94" s="288"/>
      <c r="C94" s="288"/>
      <c r="D94" s="288"/>
      <c r="E94" s="288"/>
      <c r="F94" s="288"/>
      <c r="G94" s="207"/>
      <c r="H94" s="293"/>
      <c r="I94" s="294"/>
      <c r="J94" s="207"/>
      <c r="K94" s="207"/>
      <c r="L94" s="207"/>
    </row>
    <row r="95" spans="1:13">
      <c r="B95" s="288"/>
      <c r="C95" s="288"/>
      <c r="D95" s="289" t="s">
        <v>74</v>
      </c>
      <c r="E95" s="288"/>
      <c r="F95" s="288"/>
      <c r="G95" s="207"/>
      <c r="H95" s="293"/>
      <c r="I95" s="294"/>
      <c r="J95" s="207"/>
      <c r="K95" s="207"/>
      <c r="L95" s="207"/>
    </row>
    <row r="96" spans="1:13">
      <c r="B96" s="288"/>
      <c r="C96" s="288"/>
      <c r="D96" s="288"/>
      <c r="E96" s="394" t="s">
        <v>120</v>
      </c>
      <c r="F96" s="296"/>
      <c r="G96" s="291"/>
      <c r="H96" s="375"/>
      <c r="I96" s="292"/>
      <c r="J96" s="207"/>
      <c r="K96" s="207"/>
      <c r="L96" s="207"/>
      <c r="M96" s="207"/>
    </row>
    <row r="97" spans="1:13">
      <c r="B97" s="288"/>
      <c r="C97" s="288"/>
      <c r="D97" s="288"/>
      <c r="E97" s="288" t="s">
        <v>121</v>
      </c>
      <c r="F97" s="288"/>
      <c r="G97" s="288"/>
      <c r="H97" s="207"/>
      <c r="I97" s="293"/>
      <c r="J97" s="294"/>
      <c r="K97" s="207"/>
      <c r="L97" s="207"/>
      <c r="M97" s="207"/>
    </row>
    <row r="98" spans="1:13">
      <c r="A98" s="4"/>
      <c r="B98" s="2"/>
      <c r="C98" s="288"/>
      <c r="D98" s="288"/>
      <c r="E98" s="288" t="s">
        <v>122</v>
      </c>
      <c r="F98" s="288"/>
      <c r="G98" s="288"/>
      <c r="H98" s="207"/>
      <c r="I98" s="293"/>
      <c r="J98" s="294"/>
      <c r="K98" s="207"/>
      <c r="L98" s="207"/>
      <c r="M98" s="207"/>
    </row>
  </sheetData>
  <mergeCells count="1">
    <mergeCell ref="G36:H36"/>
  </mergeCells>
  <phoneticPr fontId="12" type="noConversion"/>
  <printOptions horizontalCentered="1" verticalCentered="1"/>
  <pageMargins left="0.7" right="0.7" top="0.75" bottom="0.75" header="0.3" footer="0.3"/>
  <pageSetup scale="62"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65"/>
  <sheetViews>
    <sheetView workbookViewId="0">
      <selection activeCell="E15" sqref="E15"/>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2" width="15.85546875" style="2" customWidth="1"/>
    <col min="13" max="13" width="16.140625" style="2" customWidth="1"/>
    <col min="14" max="14" width="1.7109375" style="2" customWidth="1"/>
    <col min="15" max="15" width="10.28515625" style="2" customWidth="1"/>
    <col min="16" max="16384" width="9.140625" style="2"/>
  </cols>
  <sheetData>
    <row r="1" spans="1:15" ht="15">
      <c r="A1" s="58" t="str">
        <f>+'[1]JUL WKSHT'!A1</f>
        <v>COMMONWEALTH OF KENTUCKY</v>
      </c>
      <c r="B1" s="3"/>
      <c r="C1" s="3"/>
      <c r="D1" s="3"/>
      <c r="E1" s="3"/>
      <c r="F1" s="3"/>
      <c r="G1" s="3"/>
      <c r="H1" s="3"/>
      <c r="I1" s="3"/>
      <c r="J1" s="3"/>
      <c r="K1" s="3"/>
      <c r="L1" s="3"/>
      <c r="M1" s="3"/>
      <c r="N1" s="3"/>
    </row>
    <row r="2" spans="1:15" ht="15">
      <c r="A2" s="59" t="str">
        <f>+'[1]JUL WKSHT'!A2</f>
        <v>LAW ENFORCEMENT FOUNDATION AND FIREFIGHTERS FOUNDATION FUNDS</v>
      </c>
      <c r="B2" s="3"/>
      <c r="C2" s="3"/>
      <c r="D2" s="3"/>
      <c r="E2" s="3"/>
      <c r="F2" s="3"/>
      <c r="G2" s="3"/>
      <c r="H2" s="3"/>
      <c r="I2" s="3"/>
      <c r="J2" s="3"/>
      <c r="K2" s="3"/>
      <c r="L2" s="3"/>
      <c r="M2" s="3"/>
      <c r="N2" s="3"/>
    </row>
    <row r="3" spans="1:15" ht="15">
      <c r="A3" s="59" t="str">
        <f>+[1]JUL!A3</f>
        <v>SURTAX RECEIPTS SCHEDULE</v>
      </c>
      <c r="B3" s="3"/>
      <c r="C3" s="3"/>
      <c r="D3" s="3"/>
      <c r="E3" s="3"/>
      <c r="F3" s="3"/>
      <c r="G3" s="3"/>
      <c r="H3" s="3"/>
      <c r="I3" s="3"/>
      <c r="J3" s="3"/>
      <c r="K3" s="3"/>
      <c r="L3" s="3"/>
      <c r="M3" s="3"/>
      <c r="N3" s="3"/>
    </row>
    <row r="4" spans="1:15" ht="15">
      <c r="A4" s="58" t="str">
        <f>+'[2]JUN WKSHT'!A4</f>
        <v>FOR THE PERIOD JUNE 1, 2024 - JUNE 30, 2024</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+[1]JUL!A7</f>
        <v>DEPARTMENT OF REVENUE SURTAX RECEIPTS COLLECTED</v>
      </c>
      <c r="B7" s="46"/>
      <c r="C7" s="46"/>
      <c r="D7" s="46"/>
      <c r="E7" s="27"/>
      <c r="F7" s="29"/>
      <c r="H7"/>
      <c r="I7"/>
      <c r="J7"/>
      <c r="K7"/>
      <c r="L7"/>
      <c r="M7"/>
      <c r="N7"/>
      <c r="O7" s="64" t="s">
        <v>5</v>
      </c>
    </row>
    <row r="8" spans="1:15" ht="13.5" thickBot="1">
      <c r="A8" s="51"/>
      <c r="B8" s="52"/>
      <c r="C8" s="52"/>
      <c r="D8" s="52"/>
      <c r="E8" s="39"/>
      <c r="F8" s="40"/>
      <c r="G8" s="24" t="s">
        <v>3</v>
      </c>
      <c r="H8" s="60"/>
      <c r="I8" s="60"/>
      <c r="J8" s="25"/>
      <c r="K8" s="24" t="s">
        <v>4</v>
      </c>
      <c r="L8" s="60"/>
      <c r="M8" s="60"/>
      <c r="N8" s="25"/>
      <c r="O8" s="390"/>
    </row>
    <row r="9" spans="1:15">
      <c r="A9" s="26"/>
      <c r="B9" s="27"/>
      <c r="C9" s="27"/>
      <c r="D9" s="27"/>
      <c r="E9" s="27"/>
      <c r="F9" s="29"/>
      <c r="G9" s="41"/>
      <c r="H9" s="28"/>
      <c r="I9" s="28"/>
      <c r="J9" s="29"/>
      <c r="K9" s="41"/>
      <c r="L9" s="28"/>
      <c r="M9" s="28"/>
      <c r="N9" s="29"/>
    </row>
    <row r="10" spans="1:15">
      <c r="A10" s="53"/>
      <c r="B10" s="7" t="str">
        <f>+[1]JUL!B10</f>
        <v>GROSS RECEIPTS:</v>
      </c>
      <c r="C10" s="7"/>
      <c r="E10"/>
      <c r="F10" s="35"/>
      <c r="G10" s="42"/>
      <c r="I10" s="20"/>
      <c r="J10" s="56"/>
      <c r="K10" s="42"/>
      <c r="M10" s="20"/>
      <c r="N10" s="56"/>
    </row>
    <row r="11" spans="1:15">
      <c r="A11" s="53"/>
      <c r="B11" s="7"/>
      <c r="C11" s="7" t="str">
        <f>+[1]JUL!C11</f>
        <v>VOLUNTEER FIRE DEPARTMENT AID</v>
      </c>
      <c r="E11"/>
      <c r="F11" s="35"/>
      <c r="G11" s="42"/>
      <c r="H11" s="13">
        <f>+'[2]JUN WKSHT'!H11</f>
        <v>2343388.87</v>
      </c>
      <c r="I11" s="13"/>
      <c r="J11" s="34"/>
      <c r="K11" s="42"/>
      <c r="L11" s="13">
        <f>+'[2]JUN WKSHT'!K11</f>
        <v>26939334.709999997</v>
      </c>
      <c r="M11" s="13"/>
      <c r="N11" s="34"/>
    </row>
    <row r="12" spans="1:15">
      <c r="A12" s="53"/>
      <c r="B12" s="7"/>
      <c r="C12" s="7" t="str">
        <f>+[1]JUL!C12</f>
        <v>LAW ENFORCEMENT AND FIREFIGHTERS FUND</v>
      </c>
      <c r="E12"/>
      <c r="F12" s="35"/>
      <c r="G12" s="42"/>
      <c r="H12" s="11">
        <f>+'[2]JUN WKSHT'!H14</f>
        <v>12779339.219999999</v>
      </c>
      <c r="I12" s="13">
        <f>SUM(H11:H12)</f>
        <v>15122728.09</v>
      </c>
      <c r="J12" s="34"/>
      <c r="K12" s="42"/>
      <c r="L12" s="11">
        <f>+'[2]JUN WKSHT'!K14</f>
        <v>145214927.51999998</v>
      </c>
      <c r="M12" s="13">
        <f>SUM(L11:L12)</f>
        <v>172154262.22999999</v>
      </c>
      <c r="N12" s="34"/>
    </row>
    <row r="13" spans="1:15">
      <c r="A13" s="53"/>
      <c r="B13" s="7" t="str">
        <f>+[1]JUL!B13</f>
        <v>REVENUE REFUNDS</v>
      </c>
      <c r="C13"/>
      <c r="D13" s="7"/>
      <c r="E13"/>
      <c r="F13" s="35"/>
      <c r="G13" s="42"/>
      <c r="I13" s="2">
        <f>+'[2]JUN WKSHT'!H21</f>
        <v>-140.54000000000002</v>
      </c>
      <c r="J13" s="35"/>
      <c r="K13" s="42"/>
      <c r="M13" s="2">
        <f>+'[2]JUN WKSHT'!K21</f>
        <v>-208533.62</v>
      </c>
      <c r="N13" s="35"/>
    </row>
    <row r="14" spans="1:15">
      <c r="A14" s="30"/>
      <c r="B14" s="7" t="str">
        <f>+[1]JUL!B14</f>
        <v>UNHONORED CHECKS</v>
      </c>
      <c r="C14"/>
      <c r="E14"/>
      <c r="F14" s="35"/>
      <c r="G14" s="42"/>
      <c r="I14" s="2">
        <f>+'[2]JUN WKSHT'!H25</f>
        <v>0</v>
      </c>
      <c r="J14" s="35"/>
      <c r="K14" s="42"/>
      <c r="M14" s="2">
        <f>+'[2]JUN WKSHT'!K25</f>
        <v>0</v>
      </c>
      <c r="N14" s="35"/>
    </row>
    <row r="15" spans="1:15">
      <c r="A15" s="30"/>
      <c r="B15" s="7" t="str">
        <f>+[1]JUL!B15</f>
        <v>RECEIPT ADJUSTMENTS</v>
      </c>
      <c r="C15"/>
      <c r="E15"/>
      <c r="F15" s="35"/>
      <c r="G15" s="42"/>
      <c r="I15" s="177">
        <f>+'[2]JUN WKSHT'!H29</f>
        <v>-230.55</v>
      </c>
      <c r="J15" s="398"/>
      <c r="K15" s="42"/>
      <c r="M15" s="177">
        <f>+'[2]JUN WKSHT'!K29</f>
        <v>-89528.920000000042</v>
      </c>
      <c r="N15" s="398"/>
    </row>
    <row r="16" spans="1:15" ht="13.5" thickBot="1">
      <c r="A16" s="50"/>
      <c r="B16"/>
      <c r="C16" s="7" t="str">
        <f>+[1]JUL!C16</f>
        <v>NET RECEIPTS TO BE DISTRIBUTED</v>
      </c>
      <c r="D16"/>
      <c r="E16"/>
      <c r="F16" s="35"/>
      <c r="G16" s="42"/>
      <c r="I16" s="22">
        <f>SUM(I10:I15)</f>
        <v>15122357</v>
      </c>
      <c r="J16" s="56"/>
      <c r="K16" s="42"/>
      <c r="M16" s="22">
        <f>SUM(M10:M15)</f>
        <v>171856199.69</v>
      </c>
      <c r="N16" s="56"/>
      <c r="O16" s="2">
        <f>+I16-'[2]JUN WKSHT'!H30</f>
        <v>0</v>
      </c>
    </row>
    <row r="17" spans="1:15" ht="13.5" thickBot="1">
      <c r="A17" s="38"/>
      <c r="B17" s="39"/>
      <c r="C17" s="39"/>
      <c r="D17" s="39"/>
      <c r="E17" s="39"/>
      <c r="F17" s="40"/>
      <c r="G17" s="43"/>
      <c r="H17" s="14"/>
      <c r="I17" s="14"/>
      <c r="J17" s="40"/>
      <c r="K17" s="43"/>
      <c r="L17" s="14"/>
      <c r="M17" s="14"/>
      <c r="N17" s="40"/>
      <c r="O17" s="2">
        <f>+M16-'[2]JUN WKSHT'!K30</f>
        <v>0</v>
      </c>
    </row>
    <row r="18" spans="1:15" ht="13.5" thickBot="1">
      <c r="E18" s="7"/>
    </row>
    <row r="19" spans="1:15" ht="13.5" thickBot="1">
      <c r="A19" s="45" t="str">
        <f>+[1]JUL!A19</f>
        <v>LAW ENFORCEMENT FOUNDATION FUND</v>
      </c>
      <c r="B19" s="46"/>
      <c r="C19" s="46"/>
      <c r="D19" s="46"/>
      <c r="E19" s="27"/>
      <c r="F19" s="29"/>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7" t="str">
        <f>+[1]JUL!B22</f>
        <v>BALANCE FORWARDED FROM FISCAL YEAR 2023</v>
      </c>
      <c r="C22"/>
      <c r="F22" s="35"/>
      <c r="G22" s="42"/>
      <c r="J22" s="35"/>
      <c r="K22" s="42"/>
      <c r="M22" s="13">
        <f>+'[2]JUN WKSHT'!K45</f>
        <v>73871628.640000001</v>
      </c>
      <c r="N22" s="35"/>
    </row>
    <row r="23" spans="1:15">
      <c r="A23" s="49"/>
      <c r="B23" s="9"/>
      <c r="F23" s="35"/>
      <c r="G23" s="42"/>
      <c r="J23" s="35"/>
      <c r="K23" s="42"/>
      <c r="N23" s="35"/>
    </row>
    <row r="24" spans="1:15">
      <c r="A24" s="53"/>
      <c r="B24" s="7" t="str">
        <f>+'[2]JUN WKSHT'!B47</f>
        <v>CASH BALANCE MAY 31, 2024</v>
      </c>
      <c r="C24"/>
      <c r="F24" s="35"/>
      <c r="G24" s="42"/>
      <c r="I24" s="20">
        <f>+'[2]JUN WKSHT'!H47</f>
        <v>106412455.88000001</v>
      </c>
      <c r="J24" s="56"/>
      <c r="K24" s="42"/>
      <c r="M24" s="20"/>
      <c r="N24" s="56"/>
    </row>
    <row r="25" spans="1:15">
      <c r="A25" s="30"/>
      <c r="C25" s="7"/>
      <c r="F25" s="35"/>
      <c r="G25" s="42"/>
      <c r="I25" s="20"/>
      <c r="J25" s="56"/>
      <c r="K25" s="42"/>
      <c r="M25" s="20"/>
      <c r="N25" s="56"/>
    </row>
    <row r="26" spans="1:15">
      <c r="A26" s="54"/>
      <c r="B26" s="7" t="str">
        <f>+[1]JUL!B26</f>
        <v>REVENUE DISTRIBUTION INCOME:</v>
      </c>
      <c r="F26" s="35"/>
      <c r="G26" s="42"/>
      <c r="J26" s="35"/>
      <c r="K26" s="42"/>
      <c r="N26" s="35"/>
    </row>
    <row r="27" spans="1:15">
      <c r="A27" s="30"/>
      <c r="C27" s="7" t="str">
        <f>+[1]JUL!C27</f>
        <v>REVENUE DISTRIBUTION</v>
      </c>
      <c r="F27" s="35"/>
      <c r="G27" s="42"/>
      <c r="H27" s="20">
        <f>+'[2]JUN WKSHT'!G50</f>
        <v>9967884.5999999996</v>
      </c>
      <c r="I27"/>
      <c r="J27" s="57"/>
      <c r="K27" s="42"/>
      <c r="L27" s="20">
        <f>+'[2]JUN WKSHT'!J50</f>
        <v>113267643.28999999</v>
      </c>
      <c r="M27"/>
      <c r="N27" s="57"/>
    </row>
    <row r="28" spans="1:15">
      <c r="A28" s="30"/>
      <c r="C28" s="7" t="str">
        <f>+[1]JUL!C28</f>
        <v>REVENUE REFUNDS:  PRIOR YEAR</v>
      </c>
      <c r="F28" s="35"/>
      <c r="G28" s="42"/>
      <c r="H28" s="2">
        <f>+'[2]JUN WKSHT'!G51</f>
        <v>0</v>
      </c>
      <c r="I28"/>
      <c r="J28" s="57"/>
      <c r="K28" s="42"/>
      <c r="L28" s="2">
        <f>+'[2]JUN WKSHT'!J51</f>
        <v>0</v>
      </c>
      <c r="M28"/>
      <c r="N28" s="57"/>
    </row>
    <row r="29" spans="1:15">
      <c r="A29" s="30"/>
      <c r="C29" s="7" t="str">
        <f>+[1]JUL!C29</f>
        <v>REVENUE REFUNDS:  CURRENT YEAR</v>
      </c>
      <c r="F29" s="35"/>
      <c r="G29" s="42"/>
      <c r="H29" s="2">
        <f>+'[2]JUN WKSHT'!G52</f>
        <v>-11503.39</v>
      </c>
      <c r="I29"/>
      <c r="J29" s="57"/>
      <c r="K29" s="42"/>
      <c r="L29" s="2">
        <f>+'[2]JUN WKSHT'!J52</f>
        <v>-162546.62</v>
      </c>
      <c r="M29"/>
      <c r="N29" s="57"/>
    </row>
    <row r="30" spans="1:15">
      <c r="A30" s="30"/>
      <c r="C30" s="7" t="str">
        <f>+[1]JUL!C30</f>
        <v>REFUND OF PRIOR YEAR DISBURSEMENTS</v>
      </c>
      <c r="F30" s="35"/>
      <c r="G30" s="42"/>
      <c r="H30" s="2">
        <f>+'[2]JUN WKSHT'!G53</f>
        <v>0</v>
      </c>
      <c r="I30"/>
      <c r="J30" s="57"/>
      <c r="K30" s="42"/>
      <c r="L30" s="2">
        <f>+'[2]JUN WKSHT'!J53</f>
        <v>0</v>
      </c>
      <c r="M30"/>
      <c r="N30" s="57"/>
    </row>
    <row r="31" spans="1:15">
      <c r="A31" s="30"/>
      <c r="C31" s="7" t="str">
        <f>+[1]JUL!C31</f>
        <v>UNHONORED CHECKS</v>
      </c>
      <c r="F31" s="35"/>
      <c r="G31" s="42"/>
      <c r="H31" s="2">
        <f>+'[2]JUN WKSHT'!G54</f>
        <v>0</v>
      </c>
      <c r="I31"/>
      <c r="J31" s="57"/>
      <c r="K31" s="42"/>
      <c r="L31" s="2">
        <f>+'[2]JUN WKSHT'!J54</f>
        <v>0</v>
      </c>
      <c r="M31"/>
      <c r="N31" s="57"/>
    </row>
    <row r="32" spans="1:15">
      <c r="A32" s="30"/>
      <c r="C32" s="7" t="str">
        <f>+[1]JUL!C32</f>
        <v>RECEIPT ADJUSTMENTS</v>
      </c>
      <c r="F32" s="35"/>
      <c r="G32" s="42"/>
      <c r="H32" s="11">
        <f>+'[2]JUN WKSHT'!G55</f>
        <v>-230.55</v>
      </c>
      <c r="I32" s="2">
        <f>SUM(H27:H32)</f>
        <v>9956150.6599999983</v>
      </c>
      <c r="J32" s="35"/>
      <c r="K32" s="42"/>
      <c r="L32" s="11">
        <f>+'[2]JUN WKSHT'!J55</f>
        <v>641953.07999999996</v>
      </c>
      <c r="M32" s="2">
        <f>SUM(L27:L32)</f>
        <v>113747049.74999999</v>
      </c>
      <c r="N32" s="35"/>
    </row>
    <row r="33" spans="1:15">
      <c r="A33" s="30"/>
      <c r="F33" s="35"/>
      <c r="G33" s="42"/>
      <c r="J33" s="35"/>
      <c r="K33" s="42"/>
      <c r="N33" s="35"/>
    </row>
    <row r="34" spans="1:15">
      <c r="A34" s="53"/>
      <c r="B34" s="7" t="str">
        <f>+[1]JUL!B34</f>
        <v>INVESTMENT INCOME</v>
      </c>
      <c r="C34"/>
      <c r="F34" s="35"/>
      <c r="G34" s="42"/>
      <c r="I34" s="2">
        <f>+'[2]JUN WKSHT'!H57</f>
        <v>426160.82</v>
      </c>
      <c r="J34" s="35"/>
      <c r="K34" s="42"/>
      <c r="M34" s="2">
        <f>+'[2]JUN WKSHT'!K57</f>
        <v>4471782.5999999996</v>
      </c>
      <c r="N34" s="35"/>
    </row>
    <row r="35" spans="1:15">
      <c r="A35" s="30"/>
      <c r="F35" s="35"/>
      <c r="G35" s="42"/>
      <c r="J35" s="35"/>
      <c r="K35" s="42"/>
      <c r="N35" s="35"/>
    </row>
    <row r="36" spans="1:15">
      <c r="A36" s="30"/>
      <c r="B36" s="7" t="str">
        <f>+[1]JUL!B36</f>
        <v>OTHER REVENUE</v>
      </c>
      <c r="C36"/>
      <c r="F36" s="35"/>
      <c r="G36" s="42"/>
      <c r="I36" s="2">
        <f>+'[2]JUN WKSHT'!H59</f>
        <v>0</v>
      </c>
      <c r="J36" s="35"/>
      <c r="K36" s="42"/>
      <c r="M36" s="2">
        <f>+'[2]JUN WKSHT'!K59</f>
        <v>12931.36</v>
      </c>
      <c r="N36" s="35"/>
    </row>
    <row r="37" spans="1:15">
      <c r="A37" s="30"/>
      <c r="F37" s="35"/>
      <c r="G37" s="42"/>
      <c r="J37" s="35"/>
      <c r="K37" s="42"/>
      <c r="N37" s="35"/>
    </row>
    <row r="38" spans="1:15">
      <c r="A38" s="53"/>
      <c r="B38" s="7" t="str">
        <f>+[1]JUL!B38</f>
        <v>EXPENDITURES</v>
      </c>
      <c r="F38" s="35"/>
      <c r="G38" s="42"/>
      <c r="I38" s="11">
        <f>+'[2]JUN WKSHT'!H63</f>
        <v>8522896.1299999952</v>
      </c>
      <c r="J38" s="35"/>
      <c r="K38" s="42"/>
      <c r="M38" s="11">
        <f>+'[2]JUN WKSHT'!K63</f>
        <v>83831521.120000005</v>
      </c>
      <c r="N38" s="35"/>
    </row>
    <row r="39" spans="1:15">
      <c r="A39" s="30"/>
      <c r="F39" s="35"/>
      <c r="G39" s="42"/>
      <c r="J39" s="35"/>
      <c r="K39" s="42"/>
      <c r="N39" s="35"/>
    </row>
    <row r="40" spans="1:15" ht="13.5" thickBot="1">
      <c r="A40" s="53"/>
      <c r="B40" s="7" t="str">
        <f>+'[2]JUN WKSHT'!B65</f>
        <v>CASH BALANCE JUNE 30, 2024</v>
      </c>
      <c r="F40" s="35"/>
      <c r="G40" s="42"/>
      <c r="I40" s="21">
        <f>+I24+I32+I34+I36-I38</f>
        <v>108271871.23</v>
      </c>
      <c r="J40" s="56"/>
      <c r="K40" s="42"/>
      <c r="M40" s="21">
        <f>+M22+M32+M34+M36-M38</f>
        <v>108271871.22999999</v>
      </c>
      <c r="N40" s="56"/>
      <c r="O40" s="2">
        <f>+I40-'[2]JUN WKSHT'!H65</f>
        <v>0</v>
      </c>
    </row>
    <row r="41" spans="1:15" ht="13.5" thickBot="1">
      <c r="A41" s="38"/>
      <c r="B41" s="39"/>
      <c r="C41" s="39"/>
      <c r="D41" s="39"/>
      <c r="E41" s="39"/>
      <c r="F41" s="40"/>
      <c r="G41" s="43"/>
      <c r="H41" s="14"/>
      <c r="I41" s="14"/>
      <c r="J41" s="40"/>
      <c r="K41" s="43"/>
      <c r="L41" s="14"/>
      <c r="M41" s="14"/>
      <c r="N41" s="40"/>
      <c r="O41" s="2">
        <f>+M40-'[2]JUN WKSHT'!K65</f>
        <v>0</v>
      </c>
    </row>
    <row r="42" spans="1:15" ht="13.5" thickBot="1"/>
    <row r="43" spans="1:15" ht="13.5" thickBot="1">
      <c r="A43" s="45" t="str">
        <f>+[1]JUL!A43</f>
        <v>FIREFIGHTERS FOUNDATION FUND</v>
      </c>
      <c r="B43" s="27"/>
      <c r="C43" s="27"/>
      <c r="D43" s="27"/>
      <c r="E43" s="27"/>
      <c r="F43" s="29"/>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7" t="str">
        <f>+B22</f>
        <v>BALANCE FORWARDED FROM FISCAL YEAR 2023</v>
      </c>
      <c r="F46" s="35"/>
      <c r="G46" s="42"/>
      <c r="J46" s="35"/>
      <c r="K46" s="42"/>
      <c r="M46" s="13">
        <f>+'[2]JUN WKSHT'!K68</f>
        <v>38612985.210000001</v>
      </c>
      <c r="N46" s="35"/>
    </row>
    <row r="47" spans="1:15">
      <c r="A47" s="49"/>
      <c r="F47" s="35"/>
      <c r="G47" s="42"/>
      <c r="J47" s="35"/>
      <c r="K47" s="42"/>
      <c r="N47" s="35"/>
    </row>
    <row r="48" spans="1:15">
      <c r="A48" s="53">
        <f>+A24</f>
        <v>0</v>
      </c>
      <c r="B48" s="6" t="str">
        <f>+B24</f>
        <v>CASH BALANCE MAY 31, 2024</v>
      </c>
      <c r="F48" s="61"/>
      <c r="G48" s="42"/>
      <c r="I48" s="20">
        <f>+'[2]JUN WKSHT'!H70</f>
        <v>47453349.699999988</v>
      </c>
      <c r="J48" s="56"/>
      <c r="K48" s="42"/>
      <c r="M48" s="20"/>
      <c r="N48" s="56"/>
    </row>
    <row r="49" spans="1:15">
      <c r="A49" s="30"/>
      <c r="B49" s="7"/>
      <c r="F49" s="61"/>
      <c r="G49" s="42"/>
      <c r="I49" s="20"/>
      <c r="J49" s="56"/>
      <c r="K49" s="42"/>
      <c r="M49" s="20"/>
      <c r="N49" s="56"/>
    </row>
    <row r="50" spans="1:15">
      <c r="A50" s="54">
        <f>+A26</f>
        <v>0</v>
      </c>
      <c r="B50" s="7" t="str">
        <f>+[1]JUL!B50</f>
        <v>REVENUE DISTRIBUTION INCOME:</v>
      </c>
      <c r="C50" s="1"/>
      <c r="F50" s="61"/>
      <c r="G50" s="42"/>
      <c r="J50" s="35"/>
      <c r="K50" s="42"/>
      <c r="N50" s="35"/>
    </row>
    <row r="51" spans="1:15">
      <c r="A51" s="30"/>
      <c r="B51" s="7"/>
      <c r="C51" s="7" t="str">
        <f>+[1]JUL!C51</f>
        <v>REVENUE DISTRIBUTION</v>
      </c>
      <c r="F51" s="61"/>
      <c r="G51" s="42"/>
      <c r="H51" s="20">
        <f>+'[2]JUN WKSHT'!G75</f>
        <v>5154843.49</v>
      </c>
      <c r="I51"/>
      <c r="J51" s="57"/>
      <c r="K51" s="42"/>
      <c r="L51" s="20">
        <f>+'[2]JUN WKSHT'!J75</f>
        <v>58886618.940000005</v>
      </c>
      <c r="M51"/>
      <c r="N51" s="57"/>
    </row>
    <row r="52" spans="1:15">
      <c r="A52" s="30"/>
      <c r="B52" s="7"/>
      <c r="C52" s="7" t="str">
        <f>+[1]JUL!C52</f>
        <v>REVENUE REFUNDS:  PRIOR YEAR</v>
      </c>
      <c r="F52" s="61"/>
      <c r="G52" s="42"/>
      <c r="H52" s="2">
        <f>+'[2]JUN WKSHT'!G76</f>
        <v>0</v>
      </c>
      <c r="I52"/>
      <c r="J52" s="57"/>
      <c r="K52" s="42"/>
      <c r="L52" s="2">
        <f>+'[2]JUN WKSHT'!J76</f>
        <v>0</v>
      </c>
      <c r="M52"/>
      <c r="N52" s="57"/>
    </row>
    <row r="53" spans="1:15">
      <c r="A53" s="30"/>
      <c r="C53" s="7" t="str">
        <f>+[1]JUL!C53</f>
        <v>REVENUE REFUNDS:  CURRENT YEAR</v>
      </c>
      <c r="F53" s="61"/>
      <c r="G53" s="42"/>
      <c r="H53" s="2">
        <f>+'[2]JUN WKSHT'!G77</f>
        <v>-3244.55</v>
      </c>
      <c r="I53"/>
      <c r="J53" s="57"/>
      <c r="K53" s="42"/>
      <c r="L53" s="2">
        <f>+'[2]JUN WKSHT'!J77</f>
        <v>-45846.46</v>
      </c>
      <c r="M53"/>
      <c r="N53" s="57"/>
    </row>
    <row r="54" spans="1:15">
      <c r="A54" s="30"/>
      <c r="B54" s="7"/>
      <c r="C54" s="7" t="str">
        <f>+[1]JUL!C54</f>
        <v>REFUND OF PRIOR YEAR DISBURSEMENTS</v>
      </c>
      <c r="F54" s="61"/>
      <c r="G54" s="42"/>
      <c r="H54" s="2">
        <f>+'[2]JUN WKSHT'!G78</f>
        <v>0</v>
      </c>
      <c r="I54"/>
      <c r="J54" s="57"/>
      <c r="K54" s="42"/>
      <c r="L54" s="2">
        <f>+'[2]JUN WKSHT'!J78</f>
        <v>0</v>
      </c>
      <c r="M54"/>
      <c r="N54" s="57"/>
    </row>
    <row r="55" spans="1:15">
      <c r="A55" s="30"/>
      <c r="C55" s="7" t="str">
        <f>+[1]JUL!C55</f>
        <v>UNHONORED CHECKS</v>
      </c>
      <c r="F55" s="61"/>
      <c r="G55" s="42"/>
      <c r="H55" s="2">
        <f>+'[2]JUN WKSHT'!G79</f>
        <v>0</v>
      </c>
      <c r="I55"/>
      <c r="J55" s="57"/>
      <c r="K55" s="42"/>
      <c r="L55" s="2">
        <f>+'[2]JUN WKSHT'!J79</f>
        <v>0</v>
      </c>
      <c r="M55"/>
      <c r="N55" s="57"/>
    </row>
    <row r="56" spans="1:15">
      <c r="A56" s="30"/>
      <c r="C56" s="7" t="str">
        <f>+[1]JUL!C56</f>
        <v>RECEIPT ADJUSTMENTS</v>
      </c>
      <c r="F56" s="61"/>
      <c r="G56" s="42"/>
      <c r="H56" s="11">
        <f>+'[2]JUN WKSHT'!G80</f>
        <v>0</v>
      </c>
      <c r="I56" s="2">
        <f>SUM(H51:H56)</f>
        <v>5151598.9400000004</v>
      </c>
      <c r="J56" s="35"/>
      <c r="K56" s="42"/>
      <c r="L56" s="11">
        <f>+'[2]JUN WKSHT'!J80</f>
        <v>-731482</v>
      </c>
      <c r="M56" s="2">
        <f>SUM(L51:L56)</f>
        <v>58109290.480000004</v>
      </c>
      <c r="N56" s="35"/>
    </row>
    <row r="57" spans="1:15">
      <c r="A57" s="30"/>
      <c r="F57" s="61"/>
      <c r="G57" s="42"/>
      <c r="J57" s="35"/>
      <c r="K57" s="42"/>
      <c r="N57" s="35"/>
    </row>
    <row r="58" spans="1:15">
      <c r="A58" s="53">
        <f>+A34</f>
        <v>0</v>
      </c>
      <c r="B58" s="7" t="str">
        <f>+[1]JUL!B58</f>
        <v>INVESTMENT INCOME</v>
      </c>
      <c r="C58" s="1"/>
      <c r="F58" s="61"/>
      <c r="G58" s="42"/>
      <c r="I58" s="2">
        <f>+'[2]JUN WKSHT'!H82</f>
        <v>209550.04</v>
      </c>
      <c r="J58" s="35"/>
      <c r="K58" s="42"/>
      <c r="M58" s="2">
        <f>+'[2]JUN WKSHT'!K82</f>
        <v>2006735.87</v>
      </c>
      <c r="N58" s="35"/>
    </row>
    <row r="59" spans="1:15">
      <c r="A59" s="30"/>
      <c r="F59" s="61"/>
      <c r="G59" s="42"/>
      <c r="J59" s="35"/>
      <c r="K59" s="42"/>
      <c r="N59" s="35"/>
    </row>
    <row r="60" spans="1:15">
      <c r="A60" s="30"/>
      <c r="B60" s="7" t="str">
        <f>+[1]JUL!B60</f>
        <v>OTHER REVENUE</v>
      </c>
      <c r="C60" s="1"/>
      <c r="F60" s="61"/>
      <c r="G60" s="42"/>
      <c r="I60" s="2">
        <f>+'[2]JUN WKSHT'!H84</f>
        <v>0</v>
      </c>
      <c r="J60" s="35"/>
      <c r="K60" s="42"/>
      <c r="M60" s="2">
        <f>+'[2]JUN WKSHT'!K84</f>
        <v>0</v>
      </c>
      <c r="N60" s="35"/>
    </row>
    <row r="61" spans="1:15">
      <c r="A61" s="30"/>
      <c r="F61" s="61"/>
      <c r="G61" s="42"/>
      <c r="J61" s="35"/>
      <c r="K61" s="42"/>
      <c r="N61" s="35"/>
    </row>
    <row r="62" spans="1:15">
      <c r="A62" s="30"/>
      <c r="B62" s="7" t="str">
        <f>+[1]JUL!B62</f>
        <v>EXPENDITURES</v>
      </c>
      <c r="F62" s="61"/>
      <c r="G62" s="42"/>
      <c r="I62" s="11">
        <f>+'[2]JUN WKSHT'!H86</f>
        <v>3255889.0399999991</v>
      </c>
      <c r="J62" s="35"/>
      <c r="K62" s="42"/>
      <c r="M62" s="11">
        <f>+'[2]JUN WKSHT'!K86</f>
        <v>49170401.920000002</v>
      </c>
      <c r="N62" s="35"/>
    </row>
    <row r="63" spans="1:15">
      <c r="A63" s="30"/>
      <c r="F63" s="61"/>
      <c r="G63" s="42"/>
      <c r="J63" s="35"/>
      <c r="K63" s="42"/>
      <c r="N63" s="35"/>
      <c r="O63" s="2">
        <f>+I64-'[2]JUN WKSHT'!H88</f>
        <v>0</v>
      </c>
    </row>
    <row r="64" spans="1:15" ht="13.5" thickBot="1">
      <c r="A64" s="30">
        <f>+A38</f>
        <v>0</v>
      </c>
      <c r="B64" s="7" t="str">
        <f>+B40</f>
        <v>CASH BALANCE JUNE 30, 2024</v>
      </c>
      <c r="F64" s="61"/>
      <c r="G64" s="42"/>
      <c r="I64" s="21">
        <f>+I48+I56+I58+I60-I62</f>
        <v>49558609.639999986</v>
      </c>
      <c r="J64" s="56"/>
      <c r="K64" s="42"/>
      <c r="M64" s="21">
        <f>+M46+M56+M58+M60-M62</f>
        <v>49558609.640000001</v>
      </c>
      <c r="N64" s="56"/>
      <c r="O64" s="2">
        <f>+M64-'[2]JUN WKSHT'!K88</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5"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0"/>
  <sheetViews>
    <sheetView tabSelected="1" zoomScale="80" zoomScaleNormal="80" workbookViewId="0">
      <selection activeCell="M14" sqref="M14"/>
    </sheetView>
  </sheetViews>
  <sheetFormatPr defaultColWidth="9.140625" defaultRowHeight="12.75"/>
  <cols>
    <col min="1" max="4" width="3.7109375" style="6" customWidth="1"/>
    <col min="5" max="5" width="29.7109375" style="6" customWidth="1"/>
    <col min="6" max="7" width="14.7109375" style="2" customWidth="1"/>
    <col min="8" max="8" width="16.5703125" style="2" customWidth="1"/>
    <col min="9" max="9" width="1.7109375" style="2" customWidth="1"/>
    <col min="10" max="10" width="15.5703125" style="2" bestFit="1" customWidth="1"/>
    <col min="11" max="11" width="16.28515625" style="2" bestFit="1" customWidth="1"/>
    <col min="12" max="12" width="22.7109375" style="2" customWidth="1"/>
    <col min="13" max="13" width="15.5703125" style="2" customWidth="1"/>
    <col min="14" max="14" width="13.42578125" style="2" bestFit="1" customWidth="1"/>
    <col min="15" max="16384" width="9.140625" style="2"/>
  </cols>
  <sheetData>
    <row r="1" spans="1:12" ht="15">
      <c r="A1" s="58" t="s">
        <v>0</v>
      </c>
      <c r="B1" s="3"/>
      <c r="C1" s="3"/>
      <c r="D1" s="3"/>
      <c r="E1" s="3"/>
      <c r="F1" s="3"/>
      <c r="G1" s="3"/>
      <c r="H1" s="3"/>
      <c r="I1" s="3"/>
      <c r="J1" s="3"/>
      <c r="K1" s="3"/>
    </row>
    <row r="2" spans="1:12" ht="15">
      <c r="A2" s="59" t="s">
        <v>1</v>
      </c>
      <c r="B2" s="3"/>
      <c r="C2" s="3"/>
      <c r="D2" s="3"/>
      <c r="E2" s="3"/>
      <c r="F2" s="3"/>
      <c r="G2" s="3"/>
      <c r="H2" s="3"/>
      <c r="I2" s="3"/>
      <c r="J2" s="3"/>
      <c r="K2" s="3"/>
    </row>
    <row r="3" spans="1:12" ht="15">
      <c r="A3" s="58" t="s">
        <v>2</v>
      </c>
      <c r="B3" s="3"/>
      <c r="C3" s="3"/>
      <c r="D3" s="3"/>
      <c r="E3" s="3"/>
      <c r="F3" s="3"/>
      <c r="G3" s="3"/>
      <c r="H3" s="3"/>
      <c r="I3" s="3"/>
      <c r="J3" s="3"/>
      <c r="K3" s="3"/>
    </row>
    <row r="4" spans="1:12" ht="15">
      <c r="A4" s="137" t="s">
        <v>123</v>
      </c>
      <c r="B4" s="299"/>
      <c r="C4" s="299"/>
      <c r="D4" s="299"/>
      <c r="E4" s="299"/>
      <c r="F4" s="299"/>
      <c r="G4" s="299"/>
      <c r="H4" s="3"/>
      <c r="I4" s="3"/>
      <c r="J4" s="3"/>
      <c r="K4" s="3"/>
    </row>
    <row r="5" spans="1:12" ht="4.9000000000000004" customHeight="1" thickBot="1">
      <c r="A5" s="17"/>
      <c r="B5" s="17"/>
      <c r="C5" s="17"/>
      <c r="D5" s="17"/>
      <c r="E5" s="17"/>
      <c r="F5" s="17"/>
      <c r="G5" s="17"/>
      <c r="H5" s="17"/>
      <c r="I5" s="17"/>
      <c r="J5" s="17"/>
      <c r="K5" s="17"/>
    </row>
    <row r="7" spans="1:12">
      <c r="B7" s="4"/>
      <c r="C7" s="4"/>
      <c r="D7" s="4"/>
      <c r="G7" s="5" t="s">
        <v>3</v>
      </c>
      <c r="H7" s="5"/>
      <c r="I7" s="383"/>
      <c r="J7" s="5" t="s">
        <v>4</v>
      </c>
      <c r="K7" s="76"/>
      <c r="L7" s="64" t="s">
        <v>5</v>
      </c>
    </row>
    <row r="8" spans="1:12">
      <c r="A8" s="9" t="str">
        <f>+'[3]JUN WKSHT'!A8</f>
        <v>DEPARTMENT OF REVENUE SURTAX RECEIPTS COLLECTED (14E6-130-D130-R000-R284, R285, R286)</v>
      </c>
    </row>
    <row r="9" spans="1:12">
      <c r="B9" s="7" t="str">
        <f>+'[3]JUN WKSHT'!B9</f>
        <v>GROSS RECEIPTS (REVENUE DISTRIBUTION)</v>
      </c>
      <c r="C9" s="7"/>
      <c r="E9"/>
    </row>
    <row r="10" spans="1:12">
      <c r="B10" s="7"/>
      <c r="C10" s="7" t="str">
        <f>+'[3]JUN WKSHT'!C10</f>
        <v>VOLUNTEER FIRE DEPARTMENT AID</v>
      </c>
      <c r="E10"/>
    </row>
    <row r="11" spans="1:12">
      <c r="D11" s="7" t="str">
        <f>+'[3]JUN WKSHT'!D11</f>
        <v>R284 Volunteer Fire Dept Aid Fund</v>
      </c>
      <c r="E11"/>
      <c r="H11" s="132"/>
      <c r="K11" s="74">
        <f>+H11+'JUN WKSHT'!K11</f>
        <v>26939334.709999997</v>
      </c>
    </row>
    <row r="12" spans="1:12">
      <c r="C12" s="7" t="str">
        <f>+'[3]JUN WKSHT'!C12</f>
        <v>LAW ENFORCEMENT AND FIREFIGHTERS FUND</v>
      </c>
      <c r="D12" s="1"/>
      <c r="E12"/>
      <c r="G12" s="74"/>
      <c r="J12" s="74"/>
    </row>
    <row r="13" spans="1:12">
      <c r="D13" s="7" t="str">
        <f>+'[3]JUN WKSHT'!D13</f>
        <v>R285 Law Enforcement Fund</v>
      </c>
      <c r="E13"/>
      <c r="F13" s="74"/>
      <c r="G13" s="132"/>
      <c r="J13" s="74">
        <f>+G13+'JUN WKSHT'!J13</f>
        <v>113267643.28999999</v>
      </c>
    </row>
    <row r="14" spans="1:12">
      <c r="D14" s="7" t="str">
        <f>+'[3]JUN WKSHT'!D14</f>
        <v>R286 Firefighters Fund</v>
      </c>
      <c r="E14"/>
      <c r="G14" s="130"/>
      <c r="H14" s="11">
        <f>SUM(G13:G14)</f>
        <v>0</v>
      </c>
      <c r="I14" s="74"/>
      <c r="J14" s="11">
        <f>+G14+'JUN WKSHT'!J14</f>
        <v>31947284.23</v>
      </c>
      <c r="K14" s="11">
        <f>SUM(J13:J14)</f>
        <v>145214927.51999998</v>
      </c>
    </row>
    <row r="15" spans="1:12">
      <c r="D15" s="1"/>
      <c r="E15"/>
      <c r="G15" s="65"/>
      <c r="H15" s="74">
        <f>SUM(H11:H14)</f>
        <v>0</v>
      </c>
      <c r="I15" s="74"/>
      <c r="K15" s="74">
        <f>SUM(K11:K14)</f>
        <v>172154262.22999999</v>
      </c>
      <c r="L15" s="2">
        <f>+J51+J76-K15</f>
        <v>0</v>
      </c>
    </row>
    <row r="16" spans="1:12">
      <c r="D16" s="1"/>
      <c r="E16"/>
      <c r="G16" s="65"/>
      <c r="H16" s="74"/>
      <c r="I16" s="74"/>
      <c r="K16" s="74"/>
    </row>
    <row r="17" spans="2:12">
      <c r="B17" s="7" t="str">
        <f>+'[3]JUN WKSHT'!B17</f>
        <v>OTHER DISTRIBUTIONS (review JVs other than Revenue Distribution)</v>
      </c>
      <c r="D17" s="1"/>
      <c r="E17"/>
      <c r="G17" s="19"/>
      <c r="H17" s="74"/>
      <c r="I17" s="74"/>
      <c r="K17" s="74"/>
    </row>
    <row r="18" spans="2:12">
      <c r="B18"/>
      <c r="C18" s="7" t="str">
        <f>+'[3]JUN WKSHT'!C18</f>
        <v>REVENUE REFUNDS</v>
      </c>
      <c r="D18" s="7"/>
      <c r="E18"/>
    </row>
    <row r="19" spans="2:12">
      <c r="B19"/>
      <c r="C19" s="7"/>
      <c r="D19" s="7" t="str">
        <f>+'[3]JUN WKSHT'!D19</f>
        <v>R284</v>
      </c>
      <c r="E19"/>
      <c r="G19" s="131"/>
      <c r="J19" s="74">
        <f>+G19+'JUN WKSHT'!J19</f>
        <v>0</v>
      </c>
    </row>
    <row r="20" spans="2:12">
      <c r="B20"/>
      <c r="C20" s="7"/>
      <c r="D20" s="7" t="str">
        <f>+'[3]JUN WKSHT'!D20</f>
        <v>R285</v>
      </c>
      <c r="E20"/>
      <c r="G20" s="133"/>
      <c r="J20" s="2">
        <f>+G20+'JUN WKSHT'!J20</f>
        <v>-162656.24</v>
      </c>
    </row>
    <row r="21" spans="2:12">
      <c r="B21"/>
      <c r="C21" s="7"/>
      <c r="D21" s="7" t="str">
        <f>+'[3]JUN WKSHT'!D21</f>
        <v>R286</v>
      </c>
      <c r="E21"/>
      <c r="G21" s="130"/>
      <c r="H21" s="2">
        <f>SUM(G19:G21)</f>
        <v>0</v>
      </c>
      <c r="J21" s="11">
        <f>+G21+'JUN WKSHT'!J21</f>
        <v>-45877.38</v>
      </c>
      <c r="K21" s="2">
        <f>SUM(J19:J21)</f>
        <v>-208533.62</v>
      </c>
      <c r="L21" s="2">
        <f>+J52+J53+J77+J78-K21</f>
        <v>0</v>
      </c>
    </row>
    <row r="22" spans="2:12">
      <c r="B22"/>
      <c r="C22" s="7" t="str">
        <f>+'[3]JUN WKSHT'!C22</f>
        <v>UNHONORED CHECKS</v>
      </c>
      <c r="E22"/>
    </row>
    <row r="23" spans="2:12">
      <c r="B23"/>
      <c r="D23" s="7" t="str">
        <f>+'[3]JUN WKSHT'!D23</f>
        <v>R284</v>
      </c>
      <c r="E23"/>
      <c r="G23" s="131"/>
      <c r="J23" s="74">
        <f>+G23+'JUN WKSHT'!J23</f>
        <v>0</v>
      </c>
    </row>
    <row r="24" spans="2:12">
      <c r="B24"/>
      <c r="D24" s="7" t="str">
        <f>+'[3]JUN WKSHT'!D24</f>
        <v>R285</v>
      </c>
      <c r="E24"/>
      <c r="G24" s="133"/>
      <c r="J24" s="2">
        <f>+G24+'JUN WKSHT'!J24</f>
        <v>0</v>
      </c>
    </row>
    <row r="25" spans="2:12">
      <c r="B25"/>
      <c r="D25" s="7" t="str">
        <f>+'[3]JUN WKSHT'!D25</f>
        <v>R286</v>
      </c>
      <c r="E25"/>
      <c r="G25" s="130"/>
      <c r="H25" s="2">
        <f>SUM(G23:G25)</f>
        <v>0</v>
      </c>
      <c r="J25" s="11">
        <f>+G25+'JUN WKSHT'!J25</f>
        <v>0</v>
      </c>
      <c r="K25" s="2">
        <f>SUM(J23:J25)</f>
        <v>0</v>
      </c>
      <c r="L25" s="2">
        <f>+J55+J80-K25</f>
        <v>0</v>
      </c>
    </row>
    <row r="26" spans="2:12">
      <c r="B26"/>
      <c r="C26" s="7" t="str">
        <f>+'[3]JUN WKSHT'!C26</f>
        <v>RECEIPT ADJUSTMENTS</v>
      </c>
      <c r="E26"/>
      <c r="H26" s="177"/>
      <c r="I26" s="177"/>
    </row>
    <row r="27" spans="2:12">
      <c r="B27"/>
      <c r="D27" s="7" t="str">
        <f>+'[3]JUN WKSHT'!D27</f>
        <v>R284</v>
      </c>
      <c r="E27"/>
      <c r="G27" s="131"/>
      <c r="J27" s="74">
        <f>+G27+'JUN WKSHT'!J27</f>
        <v>-912610.70000000007</v>
      </c>
    </row>
    <row r="28" spans="2:12">
      <c r="B28"/>
      <c r="D28" s="7" t="str">
        <f>+'[3]JUN WKSHT'!D28</f>
        <v>R285</v>
      </c>
      <c r="E28"/>
      <c r="G28" s="133"/>
      <c r="J28" s="2">
        <f>+G28+'JUN WKSHT'!J28</f>
        <v>642003.80000000005</v>
      </c>
    </row>
    <row r="29" spans="2:12">
      <c r="B29"/>
      <c r="D29" s="7" t="str">
        <f>+'[3]JUN WKSHT'!D29</f>
        <v>R286</v>
      </c>
      <c r="E29"/>
      <c r="G29" s="130"/>
      <c r="H29" s="11">
        <f>SUM(G27:G29)</f>
        <v>0</v>
      </c>
      <c r="J29" s="11">
        <f>+G29+'JUN WKSHT'!J29</f>
        <v>181077.97999999998</v>
      </c>
      <c r="K29" s="11">
        <f>SUM(J27:J29)</f>
        <v>-89528.920000000042</v>
      </c>
    </row>
    <row r="30" spans="2:12" ht="13.5" thickBot="1">
      <c r="B30"/>
      <c r="D30" s="7" t="str">
        <f>+'[3]JUN WKSHT'!D30</f>
        <v>NET RECEIPTS TO BE DISTRIBUTED</v>
      </c>
      <c r="E30"/>
      <c r="H30" s="78">
        <f>SUM(H15:H29)</f>
        <v>0</v>
      </c>
      <c r="I30" s="65"/>
      <c r="K30" s="78">
        <f>SUM(K15:K29)</f>
        <v>171856199.69</v>
      </c>
    </row>
    <row r="32" spans="2:12">
      <c r="B32" s="7" t="str">
        <f>+'[3]JUN WKSHT'!B32</f>
        <v>TOTAL</v>
      </c>
      <c r="D32"/>
    </row>
    <row r="33" spans="1:11">
      <c r="C33" s="7" t="str">
        <f>+'[3]JUN WKSHT'!C33</f>
        <v>R284</v>
      </c>
      <c r="D33"/>
      <c r="G33" s="74">
        <f>+G27+G23+G19+H11</f>
        <v>0</v>
      </c>
      <c r="J33" s="74">
        <f>+J27+J23+J19+K11</f>
        <v>26026724.009999998</v>
      </c>
    </row>
    <row r="34" spans="1:11">
      <c r="C34" s="7" t="str">
        <f>+'[3]JUN WKSHT'!C34</f>
        <v>R285</v>
      </c>
      <c r="D34"/>
      <c r="G34" s="2">
        <f>+G28+G24+G20+G13</f>
        <v>0</v>
      </c>
      <c r="J34" s="2">
        <f>+J28+J24+J20+J13</f>
        <v>113746990.84999999</v>
      </c>
    </row>
    <row r="35" spans="1:11">
      <c r="C35" s="7" t="str">
        <f>+'[3]JUN WKSHT'!C35</f>
        <v>R286</v>
      </c>
      <c r="D35"/>
      <c r="G35" s="11">
        <f>+G29+G25+G21+G14</f>
        <v>0</v>
      </c>
      <c r="H35" s="74">
        <f>SUM(G33:G35)</f>
        <v>0</v>
      </c>
      <c r="J35" s="11">
        <f>+J29+J25+J21+J14</f>
        <v>32082484.830000002</v>
      </c>
      <c r="K35" s="74">
        <f>SUM(J33:J35)</f>
        <v>171856199.69</v>
      </c>
    </row>
    <row r="37" spans="1:11">
      <c r="C37" s="212" t="s">
        <v>60</v>
      </c>
      <c r="D37" s="212"/>
      <c r="E37" s="212"/>
      <c r="F37" s="212"/>
      <c r="G37" s="392" t="s">
        <v>61</v>
      </c>
      <c r="H37" s="224"/>
    </row>
    <row r="38" spans="1:11">
      <c r="C38" s="212"/>
      <c r="D38" s="227"/>
      <c r="E38" s="212" t="s">
        <v>59</v>
      </c>
      <c r="F38" s="212"/>
      <c r="G38" s="212"/>
      <c r="H38" s="165">
        <f>G40+G41</f>
        <v>0</v>
      </c>
    </row>
    <row r="39" spans="1:11">
      <c r="C39" s="212"/>
      <c r="D39" s="227"/>
      <c r="E39" s="227" t="s">
        <v>66</v>
      </c>
      <c r="F39" s="212"/>
      <c r="G39" s="212"/>
      <c r="H39" s="165"/>
    </row>
    <row r="40" spans="1:11">
      <c r="C40" s="212"/>
      <c r="D40" s="212"/>
      <c r="E40" s="227" t="s">
        <v>65</v>
      </c>
      <c r="F40" s="227"/>
      <c r="G40" s="165">
        <f>-G20</f>
        <v>0</v>
      </c>
      <c r="H40" s="212"/>
      <c r="J40" s="2" t="s">
        <v>32</v>
      </c>
    </row>
    <row r="41" spans="1:11">
      <c r="C41" s="212"/>
      <c r="D41" s="212"/>
      <c r="E41" s="227" t="s">
        <v>66</v>
      </c>
      <c r="F41" s="212"/>
      <c r="G41" s="212">
        <f>-G21</f>
        <v>0</v>
      </c>
      <c r="H41" s="212"/>
    </row>
    <row r="42" spans="1:11">
      <c r="C42" s="379" t="s">
        <v>72</v>
      </c>
      <c r="D42" s="212"/>
      <c r="E42" s="227"/>
      <c r="F42" s="212"/>
      <c r="G42" s="212"/>
      <c r="H42" s="212"/>
    </row>
    <row r="43" spans="1:11">
      <c r="C43" s="212"/>
      <c r="D43" s="212"/>
      <c r="E43" s="227"/>
      <c r="F43" s="212"/>
      <c r="G43" s="212"/>
      <c r="H43" s="212"/>
    </row>
    <row r="44" spans="1:11">
      <c r="E44" s="7"/>
    </row>
    <row r="45" spans="1:11">
      <c r="A45" s="9" t="str">
        <f>+'[3]JUN WKSHT'!A44</f>
        <v>LAW ENFORCEMENT FOUNDATION FUND (13DB-525-0000)</v>
      </c>
    </row>
    <row r="46" spans="1:11">
      <c r="A46" s="9"/>
      <c r="B46" s="7" t="str">
        <f>+'[3]JUN WKSHT'!B45</f>
        <v>BALANCE FORWARDED FROM FISCAL YEAR 2023</v>
      </c>
      <c r="K46" s="74">
        <f>+'JUN WKSHT'!K46</f>
        <v>73871638.640000001</v>
      </c>
    </row>
    <row r="47" spans="1:11">
      <c r="A47" s="9"/>
    </row>
    <row r="48" spans="1:11">
      <c r="B48" s="10" t="str">
        <f>+'[3]JUN WKSHT'!B65</f>
        <v>CASH BALANCE JUNE 30, 2024</v>
      </c>
      <c r="H48" s="108">
        <f>+'JUN WKSHT'!H66</f>
        <v>108271881.23</v>
      </c>
      <c r="I48" s="74"/>
    </row>
    <row r="49" spans="2:12">
      <c r="B49" s="7"/>
      <c r="H49" s="74"/>
      <c r="I49" s="74"/>
    </row>
    <row r="50" spans="2:12">
      <c r="B50" s="7" t="str">
        <f>+'[3]JUN WKSHT'!B49</f>
        <v>REVENUE DISTRIBUTION INCOME (REVENUE DETAIL WORKSHEET):</v>
      </c>
      <c r="H50" s="67" t="s">
        <v>63</v>
      </c>
      <c r="K50" s="67" t="s">
        <v>63</v>
      </c>
      <c r="L50" s="396"/>
    </row>
    <row r="51" spans="2:12">
      <c r="C51" s="7" t="str">
        <f>+'[3]JUN WKSHT'!C50</f>
        <v>REVENUE DISTRIBUTION (N114)</v>
      </c>
      <c r="G51" s="132"/>
      <c r="H51" s="66">
        <f>+H14*0.78</f>
        <v>0</v>
      </c>
      <c r="J51" s="74">
        <f>+G51+'JUN WKSHT'!J51</f>
        <v>113267643.28999999</v>
      </c>
      <c r="K51" s="66">
        <f>+K14*0.78</f>
        <v>113267643.46559998</v>
      </c>
      <c r="L51" s="177"/>
    </row>
    <row r="52" spans="2:12">
      <c r="C52" s="7" t="str">
        <f>+'[3]JUN WKSHT'!C51</f>
        <v>REVENUE REFUNDS:  PRIOR YEAR</v>
      </c>
      <c r="G52" s="133"/>
      <c r="J52" s="2">
        <f>+G52+'JUN WKSHT'!J52</f>
        <v>0</v>
      </c>
    </row>
    <row r="53" spans="2:12">
      <c r="C53" s="7" t="str">
        <f>+'[3]JUN WKSHT'!C52</f>
        <v>REVENUE REFUNDS:  CURRENT YEAR</v>
      </c>
      <c r="G53" s="133">
        <v>-109.62</v>
      </c>
      <c r="J53" s="2">
        <f>+G53+'JUN WKSHT'!J53</f>
        <v>-162656.24</v>
      </c>
    </row>
    <row r="54" spans="2:12">
      <c r="C54" s="7" t="str">
        <f>+'[3]JUN WKSHT'!C53</f>
        <v>REFUND OF PRIOR YEAR DISBURSEMENTS (R881)</v>
      </c>
      <c r="G54" s="133"/>
      <c r="J54" s="2">
        <f>+G54+'JUN WKSHT'!J54</f>
        <v>0</v>
      </c>
    </row>
    <row r="55" spans="2:12">
      <c r="C55" s="7" t="str">
        <f>+'[3]JUN WKSHT'!C54</f>
        <v>UNHONORED CHECKS</v>
      </c>
      <c r="G55" s="133"/>
      <c r="J55" s="2">
        <f>+G55+'JUN WKSHT'!J55</f>
        <v>0</v>
      </c>
    </row>
    <row r="56" spans="2:12">
      <c r="C56" s="7" t="str">
        <f>+'[3]JUN WKSHT'!C55</f>
        <v>RECEIPT ADJUSTMENTS</v>
      </c>
      <c r="G56" s="130">
        <v>50.72</v>
      </c>
      <c r="H56" s="2">
        <f>SUM(G51:G56)</f>
        <v>-58.900000000000006</v>
      </c>
      <c r="J56" s="11">
        <f>+G56+'JUN WKSHT'!J56</f>
        <v>642003.79999999993</v>
      </c>
      <c r="K56" s="2">
        <f>SUM(J51:J56)</f>
        <v>113746990.84999999</v>
      </c>
    </row>
    <row r="58" spans="2:12">
      <c r="B58" s="7" t="str">
        <f>+'[3]JUN WKSHT'!B57</f>
        <v>INVESTMENT INCOME (R771)</v>
      </c>
      <c r="C58"/>
      <c r="H58" s="133"/>
      <c r="K58" s="2">
        <f>+H58+'JUN WKSHT'!K58</f>
        <v>4471782.5999999996</v>
      </c>
    </row>
    <row r="59" spans="2:12">
      <c r="L59" s="193" t="s">
        <v>50</v>
      </c>
    </row>
    <row r="60" spans="2:12">
      <c r="B60" s="7" t="str">
        <f>+'[3]JUN WKSHT'!B59</f>
        <v>OTHER REVENUE</v>
      </c>
      <c r="H60" s="133"/>
      <c r="K60" s="2">
        <f>+H60+'JUN WKSHT'!K60</f>
        <v>12931.36</v>
      </c>
      <c r="L60" s="194">
        <f>-94780.76+'JUN WKSHT'!L60</f>
        <v>34162657.200000003</v>
      </c>
    </row>
    <row r="61" spans="2:12">
      <c r="L61" s="173" t="s">
        <v>54</v>
      </c>
    </row>
    <row r="62" spans="2:12">
      <c r="B62" s="7" t="str">
        <f>+'[3]MAR WKSHT'!B62</f>
        <v>EXPENDITURES (LAW ENFORCEMENT SUMMARY)</v>
      </c>
      <c r="L62" s="173">
        <f>+K46</f>
        <v>73871638.640000001</v>
      </c>
    </row>
    <row r="63" spans="2:12">
      <c r="B63" s="7"/>
      <c r="C63" s="6" t="str">
        <f>+'[3]AUG WKSHT'!C63</f>
        <v>CASH EXPENDITURES</v>
      </c>
      <c r="H63" s="177"/>
      <c r="I63" s="177"/>
      <c r="J63" s="212">
        <v>84069047.609999999</v>
      </c>
      <c r="K63" s="177"/>
      <c r="L63" s="173" t="s">
        <v>55</v>
      </c>
    </row>
    <row r="64" spans="2:12">
      <c r="B64" s="7"/>
      <c r="C64" s="6" t="str">
        <f>+'[3]AUG WKSHT'!C64</f>
        <v>ACCRUED EXPENDITURES</v>
      </c>
      <c r="H64" s="183">
        <f>K64-'JUN WKSHT'!K64</f>
        <v>417978.97999998927</v>
      </c>
      <c r="I64" s="177"/>
      <c r="J64" s="212">
        <v>180452.49</v>
      </c>
      <c r="K64" s="183">
        <f>SUM(J63:J64)</f>
        <v>84249500.099999994</v>
      </c>
      <c r="L64" s="173">
        <f>+J64</f>
        <v>180452.49</v>
      </c>
    </row>
    <row r="65" spans="1:13">
      <c r="L65" s="173" t="s">
        <v>53</v>
      </c>
      <c r="M65" s="177" t="s">
        <v>70</v>
      </c>
    </row>
    <row r="66" spans="1:13" ht="13.5" thickBot="1">
      <c r="B66" s="369" t="s">
        <v>124</v>
      </c>
      <c r="C66" s="144"/>
      <c r="D66" s="144"/>
      <c r="E66" s="144"/>
      <c r="H66" s="79">
        <f>+H48+H56+H58+H60-H64</f>
        <v>107853843.35000001</v>
      </c>
      <c r="K66" s="79">
        <f>+K46+K56+K58+K60-K64</f>
        <v>107853843.35000002</v>
      </c>
      <c r="L66" s="213">
        <f>+L60+L62-L64</f>
        <v>107853843.35000001</v>
      </c>
      <c r="M66" s="177">
        <f>L66-K66</f>
        <v>0</v>
      </c>
    </row>
    <row r="67" spans="1:13">
      <c r="L67" s="177"/>
      <c r="M67" s="177"/>
    </row>
    <row r="68" spans="1:13">
      <c r="A68" s="9" t="str">
        <f>+'[3]JUN WKSHT'!A67</f>
        <v>FIREFIGHTERS FOUNDATION FUND (1341-470-UNIT-PK00)</v>
      </c>
      <c r="M68" s="177"/>
    </row>
    <row r="69" spans="1:13">
      <c r="A69" s="7"/>
      <c r="B69" s="6" t="str">
        <f>+B46</f>
        <v>BALANCE FORWARDED FROM FISCAL YEAR 2023</v>
      </c>
      <c r="K69" s="74">
        <f>+'JUN WKSHT'!K69</f>
        <v>38612985.210000001</v>
      </c>
      <c r="M69" s="177"/>
    </row>
    <row r="70" spans="1:13">
      <c r="A70" s="9"/>
      <c r="K70" s="74"/>
      <c r="M70" s="177"/>
    </row>
    <row r="71" spans="1:13">
      <c r="B71" s="7" t="str">
        <f>+B48</f>
        <v>CASH BALANCE JUNE 30, 2024</v>
      </c>
      <c r="H71" s="74">
        <f>+'JUN WKSHT'!H89</f>
        <v>49558609.639999986</v>
      </c>
      <c r="I71" s="74"/>
      <c r="M71" s="177"/>
    </row>
    <row r="72" spans="1:13">
      <c r="B72" s="7"/>
      <c r="I72" s="74"/>
      <c r="M72" s="177"/>
    </row>
    <row r="73" spans="1:13">
      <c r="B73" s="10" t="str">
        <f>+B50</f>
        <v>REVENUE DISTRIBUTION INCOME (REVENUE DETAIL WORKSHEET):</v>
      </c>
      <c r="M73" s="177"/>
    </row>
    <row r="74" spans="1:13">
      <c r="C74" s="7" t="str">
        <f>+C51</f>
        <v>REVENUE DISTRIBUTION (N114)</v>
      </c>
      <c r="H74" s="67" t="s">
        <v>64</v>
      </c>
      <c r="K74" s="67"/>
      <c r="M74" s="177"/>
    </row>
    <row r="75" spans="1:13">
      <c r="C75" s="7"/>
      <c r="D75" s="7" t="str">
        <f>+'[3]JUN WKSHT'!D74</f>
        <v>FIREFIGHTERS FUND</v>
      </c>
      <c r="F75" s="132"/>
      <c r="G75" s="74"/>
      <c r="H75" s="66">
        <f>+H14*0.22</f>
        <v>0</v>
      </c>
      <c r="J75" s="74"/>
      <c r="K75" s="66"/>
      <c r="L75" s="169" t="s">
        <v>43</v>
      </c>
      <c r="M75" s="177"/>
    </row>
    <row r="76" spans="1:13">
      <c r="C76" s="7"/>
      <c r="D76" s="7" t="str">
        <f>+'[3]JUN WKSHT'!D75</f>
        <v>VOLUNTEER FIRE DEPT AID</v>
      </c>
      <c r="F76" s="130"/>
      <c r="G76" s="74">
        <f>SUM(F75:F76)</f>
        <v>0</v>
      </c>
      <c r="J76" s="74">
        <f>+G76+'JUN WKSHT'!J76</f>
        <v>58886618.940000005</v>
      </c>
      <c r="L76" s="173">
        <f>+K11+J14</f>
        <v>58886618.939999998</v>
      </c>
      <c r="M76" s="177"/>
    </row>
    <row r="77" spans="1:13">
      <c r="C77" s="7" t="str">
        <f>+C52</f>
        <v>REVENUE REFUNDS:  PRIOR YEAR</v>
      </c>
      <c r="G77" s="133"/>
      <c r="J77" s="2">
        <f>+G77+'JUN WKSHT'!J77</f>
        <v>0</v>
      </c>
      <c r="L77" s="198" t="s">
        <v>44</v>
      </c>
      <c r="M77" s="177"/>
    </row>
    <row r="78" spans="1:13">
      <c r="C78" s="6" t="str">
        <f>+C53</f>
        <v>REVENUE REFUNDS:  CURRENT YEAR</v>
      </c>
      <c r="G78" s="133">
        <v>-30.92</v>
      </c>
      <c r="J78" s="2">
        <f>+G78+'JUN WKSHT'!J78</f>
        <v>-45877.38</v>
      </c>
      <c r="L78" s="397">
        <f>+J76-L76</f>
        <v>0</v>
      </c>
      <c r="M78" s="177"/>
    </row>
    <row r="79" spans="1:13">
      <c r="C79" s="7" t="str">
        <f>+C54</f>
        <v>REFUND OF PRIOR YEAR DISBURSEMENTS (R881)</v>
      </c>
      <c r="G79" s="133"/>
      <c r="J79" s="2">
        <f>+G79+'JUN WKSHT'!J79</f>
        <v>0</v>
      </c>
      <c r="M79" s="177"/>
    </row>
    <row r="80" spans="1:13">
      <c r="C80" s="6" t="str">
        <f>+C55</f>
        <v>UNHONORED CHECKS</v>
      </c>
      <c r="G80" s="133"/>
      <c r="J80" s="2">
        <f>+G80+'JUN WKSHT'!J80</f>
        <v>0</v>
      </c>
      <c r="M80" s="177"/>
    </row>
    <row r="81" spans="1:14">
      <c r="C81" s="6" t="str">
        <f>+C56</f>
        <v>RECEIPT ADJUSTMENTS</v>
      </c>
      <c r="G81" s="130">
        <v>-50.72</v>
      </c>
      <c r="H81" s="2">
        <f>SUM(G75:G81)</f>
        <v>-81.64</v>
      </c>
      <c r="J81" s="11">
        <f>+G81+'JUN WKSHT'!J81</f>
        <v>-731532.72</v>
      </c>
      <c r="K81" s="2">
        <f>SUM(J76:J81)</f>
        <v>58109208.840000004</v>
      </c>
      <c r="M81" s="177"/>
    </row>
    <row r="82" spans="1:14">
      <c r="M82" s="177"/>
    </row>
    <row r="83" spans="1:14" ht="13.5" customHeight="1">
      <c r="B83" s="7" t="str">
        <f>+B58</f>
        <v>INVESTMENT INCOME (R771)</v>
      </c>
      <c r="C83"/>
      <c r="H83" s="133"/>
      <c r="K83" s="2">
        <f>+H83+'JUN WKSHT'!K83</f>
        <v>2006735.87</v>
      </c>
      <c r="M83" s="177"/>
    </row>
    <row r="84" spans="1:14">
      <c r="L84" s="193" t="s">
        <v>50</v>
      </c>
      <c r="M84" s="177"/>
    </row>
    <row r="85" spans="1:14">
      <c r="B85" s="7" t="str">
        <f>+B60</f>
        <v>OTHER REVENUE</v>
      </c>
      <c r="C85"/>
      <c r="H85" s="133"/>
      <c r="K85" s="2">
        <f>+H85+'JUN WKSHT'!K85</f>
        <v>0</v>
      </c>
      <c r="L85" s="194">
        <f>-81.64+'JUN WKSHT'!L85</f>
        <v>10945542.790000001</v>
      </c>
      <c r="M85" s="177"/>
    </row>
    <row r="86" spans="1:14">
      <c r="L86" s="173" t="s">
        <v>54</v>
      </c>
      <c r="M86" s="177"/>
    </row>
    <row r="87" spans="1:14">
      <c r="B87" s="7" t="str">
        <f>+'[3]JUN WKSHT'!B86</f>
        <v>EXPENDITURES (FIREFIGHTERS SUMMARY)</v>
      </c>
      <c r="H87" s="11">
        <f>+K87-'JUN WKSHT'!K87</f>
        <v>0</v>
      </c>
      <c r="K87" s="205">
        <v>49170401.920000002</v>
      </c>
      <c r="L87" s="173">
        <f>+K69</f>
        <v>38612985.210000001</v>
      </c>
      <c r="M87" s="177"/>
    </row>
    <row r="88" spans="1:14">
      <c r="L88" s="173" t="s">
        <v>53</v>
      </c>
      <c r="M88" s="177" t="s">
        <v>70</v>
      </c>
    </row>
    <row r="89" spans="1:14" ht="13.5" thickBot="1">
      <c r="B89" s="6" t="str">
        <f>+B66</f>
        <v>CASH BALANCE FINAL Period 13, 2024</v>
      </c>
      <c r="H89" s="79">
        <f>+H71+H81+H83+H85-H87</f>
        <v>49558527.999999985</v>
      </c>
      <c r="K89" s="79">
        <f>+K69+K81+K83+K85-K87</f>
        <v>49558528.000000015</v>
      </c>
      <c r="L89" s="213">
        <f>+L85+L87</f>
        <v>49558528</v>
      </c>
      <c r="M89" s="177">
        <f>L89-K89</f>
        <v>0</v>
      </c>
    </row>
    <row r="90" spans="1:14">
      <c r="H90" s="65"/>
      <c r="K90" s="65"/>
      <c r="L90" s="177"/>
    </row>
    <row r="92" spans="1:14" s="177" customFormat="1">
      <c r="A92" s="6"/>
      <c r="B92" s="6"/>
      <c r="C92" s="6"/>
      <c r="D92" s="6"/>
      <c r="E92" s="6"/>
      <c r="F92" s="2"/>
      <c r="G92" s="2"/>
      <c r="H92" s="2"/>
      <c r="I92" s="2"/>
      <c r="J92" s="2"/>
      <c r="K92" s="2"/>
      <c r="L92" s="2"/>
      <c r="M92" s="2"/>
      <c r="N92" s="2"/>
    </row>
    <row r="99" spans="2:12">
      <c r="B99" s="153"/>
      <c r="C99" s="153"/>
      <c r="D99" s="153"/>
      <c r="E99" s="153"/>
      <c r="F99" s="154"/>
      <c r="G99" s="154"/>
      <c r="H99" s="154"/>
      <c r="I99" s="154"/>
      <c r="J99" s="154"/>
      <c r="K99" s="154"/>
      <c r="L99" s="154"/>
    </row>
    <row r="100" spans="2:12">
      <c r="B100" s="153"/>
      <c r="C100" s="153"/>
      <c r="D100" s="153"/>
      <c r="E100" s="153"/>
      <c r="F100" s="154"/>
      <c r="G100" s="154"/>
      <c r="H100" s="154"/>
      <c r="I100" s="154"/>
      <c r="J100" s="154"/>
      <c r="K100" s="154"/>
      <c r="L100" s="154"/>
    </row>
    <row r="101" spans="2:12">
      <c r="B101" s="153"/>
      <c r="C101" s="153"/>
      <c r="D101" s="153"/>
      <c r="E101" s="153"/>
      <c r="F101" s="154"/>
      <c r="G101" s="154"/>
      <c r="H101" s="154"/>
      <c r="I101" s="154"/>
      <c r="J101" s="154"/>
      <c r="K101" s="154"/>
      <c r="L101" s="154"/>
    </row>
    <row r="102" spans="2:12">
      <c r="B102" s="153"/>
      <c r="C102" s="153"/>
      <c r="D102" s="153"/>
      <c r="E102" s="153"/>
      <c r="F102" s="154"/>
      <c r="G102" s="154"/>
      <c r="H102" s="154"/>
      <c r="I102" s="154"/>
      <c r="J102" s="154"/>
      <c r="K102" s="154"/>
      <c r="L102" s="154"/>
    </row>
    <row r="103" spans="2:12">
      <c r="B103" s="153"/>
      <c r="C103" s="153"/>
      <c r="D103" s="153"/>
      <c r="E103" s="153"/>
      <c r="F103" s="154"/>
      <c r="G103" s="154"/>
      <c r="H103" s="154"/>
      <c r="I103" s="154"/>
      <c r="J103" s="154"/>
      <c r="K103" s="154"/>
      <c r="L103" s="154"/>
    </row>
    <row r="104" spans="2:12">
      <c r="B104" s="153"/>
      <c r="C104" s="153"/>
      <c r="D104" s="153"/>
      <c r="E104" s="153"/>
      <c r="F104" s="154"/>
      <c r="G104" s="154"/>
      <c r="H104" s="154"/>
      <c r="I104" s="154"/>
      <c r="J104" s="154"/>
      <c r="K104" s="154"/>
      <c r="L104" s="154"/>
    </row>
    <row r="105" spans="2:12">
      <c r="B105" s="153"/>
      <c r="C105" s="153"/>
      <c r="D105" s="153"/>
      <c r="E105" s="153"/>
      <c r="F105" s="154"/>
      <c r="G105" s="154"/>
      <c r="H105" s="154"/>
      <c r="I105" s="154"/>
      <c r="J105" s="154"/>
      <c r="K105" s="154"/>
      <c r="L105" s="154"/>
    </row>
    <row r="106" spans="2:12">
      <c r="B106" s="153"/>
      <c r="C106" s="153"/>
      <c r="D106" s="153"/>
      <c r="E106" s="153"/>
      <c r="F106" s="154"/>
      <c r="G106" s="154"/>
      <c r="H106" s="154"/>
      <c r="I106" s="154"/>
      <c r="J106" s="154"/>
      <c r="K106" s="154"/>
      <c r="L106" s="154"/>
    </row>
    <row r="107" spans="2:12">
      <c r="B107" s="153"/>
      <c r="C107" s="153"/>
      <c r="D107" s="153"/>
      <c r="E107" s="153"/>
      <c r="F107" s="154"/>
      <c r="G107" s="154"/>
      <c r="H107" s="154"/>
      <c r="I107" s="154"/>
      <c r="J107" s="154"/>
      <c r="K107" s="154"/>
      <c r="L107" s="154"/>
    </row>
    <row r="108" spans="2:12">
      <c r="B108" s="153"/>
      <c r="C108" s="153"/>
      <c r="D108" s="153"/>
      <c r="E108" s="153"/>
      <c r="F108" s="154"/>
      <c r="G108" s="154"/>
      <c r="H108" s="154"/>
      <c r="I108" s="154"/>
      <c r="J108" s="154"/>
      <c r="K108" s="154"/>
      <c r="L108" s="154"/>
    </row>
    <row r="109" spans="2:12">
      <c r="B109" s="153"/>
      <c r="C109" s="153"/>
      <c r="D109" s="153"/>
      <c r="E109" s="153"/>
      <c r="F109" s="154"/>
      <c r="G109" s="154"/>
      <c r="H109" s="154"/>
      <c r="I109" s="154"/>
      <c r="J109" s="154"/>
      <c r="K109" s="154"/>
      <c r="L109" s="154"/>
    </row>
    <row r="110" spans="2:12">
      <c r="B110" s="153"/>
      <c r="C110" s="153"/>
      <c r="D110" s="153"/>
      <c r="E110" s="153"/>
      <c r="F110" s="154"/>
      <c r="G110" s="154"/>
      <c r="H110" s="154"/>
      <c r="I110" s="154"/>
      <c r="J110" s="154"/>
      <c r="K110" s="154"/>
      <c r="L110" s="154"/>
    </row>
  </sheetData>
  <phoneticPr fontId="12" type="noConversion"/>
  <printOptions horizontalCentered="1" verticalCentered="1"/>
  <pageMargins left="0" right="0" top="0" bottom="0" header="0" footer="0"/>
  <pageSetup scale="63" fitToWidth="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workbookViewId="0">
      <selection sqref="A1:XFD1048576"/>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8" width="14.7109375" style="2" customWidth="1"/>
    <col min="9" max="9" width="16" style="2" bestFit="1" customWidth="1"/>
    <col min="10" max="10" width="3.7109375" style="2" customWidth="1"/>
    <col min="11" max="11" width="1.7109375" style="2" customWidth="1"/>
    <col min="12" max="12" width="15.85546875" style="2" customWidth="1"/>
    <col min="13" max="13" width="16.140625" style="2" customWidth="1"/>
    <col min="14" max="14" width="1.7109375" style="2" customWidth="1"/>
    <col min="15" max="15" width="10.28515625" style="2" customWidth="1"/>
    <col min="16" max="16384" width="9.140625" style="2"/>
  </cols>
  <sheetData>
    <row r="1" spans="1:15" ht="15">
      <c r="A1" s="58" t="str">
        <f>+'[3]JUL WKSHT'!A1</f>
        <v>COMMONWEALTH OF KENTUCKY</v>
      </c>
      <c r="B1" s="3"/>
      <c r="C1" s="3"/>
      <c r="D1" s="3"/>
      <c r="E1" s="3"/>
      <c r="F1" s="3"/>
      <c r="G1" s="3"/>
      <c r="H1" s="3"/>
      <c r="I1" s="3"/>
      <c r="J1" s="3"/>
      <c r="K1" s="3"/>
      <c r="L1" s="3"/>
      <c r="M1" s="3"/>
      <c r="N1" s="3"/>
    </row>
    <row r="2" spans="1:15" ht="15">
      <c r="A2" s="59" t="str">
        <f>+'[3]JUL WKSHT'!A2</f>
        <v>LAW ENFORCEMENT FOUNDATION AND FIREFIGHTERS FOUNDATION FUNDS</v>
      </c>
      <c r="B2" s="3"/>
      <c r="C2" s="3"/>
      <c r="D2" s="3"/>
      <c r="E2" s="3"/>
      <c r="F2" s="3"/>
      <c r="G2" s="3"/>
      <c r="H2" s="3"/>
      <c r="I2" s="3"/>
      <c r="J2" s="3"/>
      <c r="K2" s="3"/>
      <c r="L2" s="3"/>
      <c r="M2" s="3"/>
      <c r="N2" s="3"/>
    </row>
    <row r="3" spans="1:15" ht="15">
      <c r="A3" s="59" t="str">
        <f>+[3]JUL!A3</f>
        <v>SURTAX RECEIPTS SCHEDULE</v>
      </c>
      <c r="B3" s="3"/>
      <c r="C3" s="3"/>
      <c r="D3" s="3"/>
      <c r="E3" s="3"/>
      <c r="F3" s="3"/>
      <c r="G3" s="3"/>
      <c r="H3" s="3"/>
      <c r="I3" s="3"/>
      <c r="J3" s="3"/>
      <c r="K3" s="3"/>
      <c r="L3" s="3"/>
      <c r="M3" s="3"/>
      <c r="N3" s="3"/>
    </row>
    <row r="4" spans="1:15" ht="15">
      <c r="A4" s="58" t="str">
        <f>+'[3]Period 13 WKSHT'!A4</f>
        <v>FOR THE PERIOD JULY 1, 2023 - FINAL Period 13, 2024</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+[3]JUL!A7</f>
        <v>DEPARTMENT OF REVENUE SURTAX RECEIPTS COLLECTED</v>
      </c>
      <c r="B7" s="46"/>
      <c r="C7" s="46"/>
      <c r="D7" s="46"/>
      <c r="E7" s="27"/>
      <c r="F7" s="29"/>
      <c r="H7"/>
      <c r="I7"/>
      <c r="J7"/>
      <c r="K7"/>
      <c r="L7"/>
      <c r="M7"/>
      <c r="N7"/>
      <c r="O7" s="64" t="s">
        <v>5</v>
      </c>
    </row>
    <row r="8" spans="1:15" ht="13.5" thickBot="1">
      <c r="A8" s="51"/>
      <c r="B8" s="52"/>
      <c r="C8" s="52"/>
      <c r="D8" s="52"/>
      <c r="E8" s="39"/>
      <c r="F8" s="40"/>
      <c r="G8" s="24" t="s">
        <v>3</v>
      </c>
      <c r="H8" s="60"/>
      <c r="I8" s="60"/>
      <c r="J8" s="25"/>
      <c r="K8" s="24" t="s">
        <v>4</v>
      </c>
      <c r="L8" s="60"/>
      <c r="M8" s="60"/>
      <c r="N8" s="25"/>
      <c r="O8" s="390"/>
    </row>
    <row r="9" spans="1:15">
      <c r="A9" s="26"/>
      <c r="B9" s="27"/>
      <c r="C9" s="27"/>
      <c r="D9" s="27"/>
      <c r="E9" s="27"/>
      <c r="F9" s="29"/>
      <c r="G9" s="41"/>
      <c r="H9" s="28"/>
      <c r="I9" s="28"/>
      <c r="J9" s="29"/>
      <c r="K9" s="41"/>
      <c r="L9" s="28"/>
      <c r="M9" s="28"/>
      <c r="N9" s="29"/>
    </row>
    <row r="10" spans="1:15">
      <c r="A10" s="53"/>
      <c r="B10" s="7" t="str">
        <f>+[3]JUL!B10</f>
        <v>GROSS RECEIPTS:</v>
      </c>
      <c r="C10" s="7"/>
      <c r="E10"/>
      <c r="F10" s="35"/>
      <c r="G10" s="42"/>
      <c r="I10" s="20"/>
      <c r="J10" s="56"/>
      <c r="K10" s="42"/>
      <c r="M10" s="20"/>
      <c r="N10" s="56"/>
    </row>
    <row r="11" spans="1:15">
      <c r="A11" s="53"/>
      <c r="B11" s="7"/>
      <c r="C11" s="7" t="str">
        <f>+[3]JUL!C11</f>
        <v>VOLUNTEER FIRE DEPARTMENT AID</v>
      </c>
      <c r="E11"/>
      <c r="F11" s="35"/>
      <c r="G11" s="42"/>
      <c r="H11" s="20">
        <f>+'[3]Period 13 WKSHT'!H11</f>
        <v>0</v>
      </c>
      <c r="I11" s="20"/>
      <c r="J11" s="56"/>
      <c r="K11" s="42"/>
      <c r="L11" s="20">
        <f>+'[3]Period 13 WKSHT'!K11</f>
        <v>26939334.709999997</v>
      </c>
      <c r="M11" s="20"/>
      <c r="N11" s="56"/>
    </row>
    <row r="12" spans="1:15">
      <c r="A12" s="53"/>
      <c r="B12" s="7"/>
      <c r="C12" s="7" t="str">
        <f>+[3]JUL!C12</f>
        <v>LAW ENFORCEMENT AND FIREFIGHTERS FUND</v>
      </c>
      <c r="E12"/>
      <c r="F12" s="35"/>
      <c r="G12" s="42"/>
      <c r="H12" s="11">
        <f>+'[3]Period 13 WKSHT'!H14</f>
        <v>0</v>
      </c>
      <c r="I12" s="20">
        <f>SUM(H11:H12)</f>
        <v>0</v>
      </c>
      <c r="J12" s="56"/>
      <c r="K12" s="42"/>
      <c r="L12" s="11">
        <f>+'[3]Period 13 WKSHT'!K14</f>
        <v>145214927.51999998</v>
      </c>
      <c r="M12" s="20">
        <f>SUM(L11:L12)</f>
        <v>172154262.22999999</v>
      </c>
      <c r="N12" s="56"/>
    </row>
    <row r="13" spans="1:15">
      <c r="A13" s="53"/>
      <c r="B13" s="7" t="str">
        <f>+[3]JUL!B13</f>
        <v>REVENUE REFUNDS</v>
      </c>
      <c r="C13"/>
      <c r="D13" s="7"/>
      <c r="E13"/>
      <c r="F13" s="35"/>
      <c r="G13" s="42"/>
      <c r="I13" s="2">
        <f>+'[3]Period 13 WKSHT'!H21</f>
        <v>0</v>
      </c>
      <c r="J13" s="35"/>
      <c r="K13" s="42"/>
      <c r="M13" s="2">
        <f>+'[3]Period 13 WKSHT'!K21</f>
        <v>-208533.62</v>
      </c>
      <c r="N13" s="35"/>
    </row>
    <row r="14" spans="1:15">
      <c r="A14" s="30"/>
      <c r="B14" s="7" t="str">
        <f>+[3]JUL!B14</f>
        <v>UNHONORED CHECKS</v>
      </c>
      <c r="C14"/>
      <c r="E14"/>
      <c r="F14" s="35"/>
      <c r="G14" s="42"/>
      <c r="I14" s="2">
        <f>+'[3]Period 13 WKSHT'!H25</f>
        <v>0</v>
      </c>
      <c r="J14" s="35"/>
      <c r="K14" s="42"/>
      <c r="M14" s="2">
        <f>+'[3]Period 13 WKSHT'!K25</f>
        <v>0</v>
      </c>
      <c r="N14" s="35"/>
    </row>
    <row r="15" spans="1:15">
      <c r="A15" s="30"/>
      <c r="B15" s="7" t="str">
        <f>+[3]JUL!B15</f>
        <v>RECEIPT ADJUSTMENTS</v>
      </c>
      <c r="C15"/>
      <c r="E15"/>
      <c r="F15" s="35"/>
      <c r="G15" s="42"/>
      <c r="I15" s="177">
        <f>+'[3]Period 13 WKSHT'!H29</f>
        <v>0</v>
      </c>
      <c r="J15" s="398"/>
      <c r="K15" s="42"/>
      <c r="M15" s="177">
        <f>+'[3]Period 13 WKSHT'!K29</f>
        <v>-89528.920000000042</v>
      </c>
      <c r="N15" s="398"/>
    </row>
    <row r="16" spans="1:15" ht="13.5" thickBot="1">
      <c r="A16" s="50"/>
      <c r="B16"/>
      <c r="C16" s="7" t="str">
        <f>+[3]JUL!C16</f>
        <v>NET RECEIPTS TO BE DISTRIBUTED</v>
      </c>
      <c r="D16"/>
      <c r="E16"/>
      <c r="F16" s="35"/>
      <c r="G16" s="42"/>
      <c r="I16" s="22">
        <f>SUM(I10:I15)</f>
        <v>0</v>
      </c>
      <c r="J16" s="56"/>
      <c r="K16" s="42"/>
      <c r="M16" s="22">
        <f>SUM(M10:M15)</f>
        <v>171856199.69</v>
      </c>
      <c r="N16" s="56"/>
      <c r="O16" s="2">
        <f>+I16-'[3]Period 13 WKSHT'!H30</f>
        <v>0</v>
      </c>
    </row>
    <row r="17" spans="1:15" ht="13.5" thickBot="1">
      <c r="A17" s="38"/>
      <c r="B17" s="39"/>
      <c r="C17" s="39"/>
      <c r="D17" s="39"/>
      <c r="E17" s="39"/>
      <c r="F17" s="40"/>
      <c r="G17" s="43"/>
      <c r="H17" s="14"/>
      <c r="I17" s="14"/>
      <c r="J17" s="40"/>
      <c r="K17" s="43"/>
      <c r="L17" s="14"/>
      <c r="M17" s="14"/>
      <c r="N17" s="40"/>
      <c r="O17" s="2">
        <f>+M16-'[3]Period 13 WKSHT'!K30</f>
        <v>0</v>
      </c>
    </row>
    <row r="18" spans="1:15" ht="13.5" thickBot="1">
      <c r="E18" s="7"/>
    </row>
    <row r="19" spans="1:15" ht="13.5" thickBot="1">
      <c r="A19" s="45" t="str">
        <f>+[3]JUL!A19</f>
        <v>LAW ENFORCEMENT FOUNDATION FUND</v>
      </c>
      <c r="B19" s="46"/>
      <c r="C19" s="46"/>
      <c r="D19" s="46"/>
      <c r="E19" s="27"/>
      <c r="F19" s="29"/>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7" t="str">
        <f>+[3]JUL!B22</f>
        <v>BALANCE FORWARDED FROM FISCAL YEAR 2023</v>
      </c>
      <c r="C22"/>
      <c r="F22" s="35"/>
      <c r="G22" s="42"/>
      <c r="J22" s="35"/>
      <c r="K22" s="42"/>
      <c r="M22" s="20">
        <f>+'[3]Period 13 WKSHT'!K46</f>
        <v>73871628.640000001</v>
      </c>
      <c r="N22" s="35"/>
    </row>
    <row r="23" spans="1:15">
      <c r="A23" s="49"/>
      <c r="B23" s="9"/>
      <c r="F23" s="35"/>
      <c r="G23" s="42"/>
      <c r="J23" s="35"/>
      <c r="K23" s="42"/>
      <c r="N23" s="35"/>
    </row>
    <row r="24" spans="1:15">
      <c r="A24" s="53"/>
      <c r="B24" s="7" t="str">
        <f>+'[3]Period 13 WKSHT'!B48</f>
        <v>CASH BALANCE JUNE 30, 2024</v>
      </c>
      <c r="C24"/>
      <c r="F24" s="35"/>
      <c r="G24" s="42"/>
      <c r="I24" s="20">
        <f>+'[3]Period 13 WKSHT'!H48</f>
        <v>108271871.23</v>
      </c>
      <c r="J24" s="56"/>
      <c r="K24" s="42"/>
      <c r="M24" s="20"/>
      <c r="N24" s="56"/>
    </row>
    <row r="25" spans="1:15">
      <c r="A25" s="30"/>
      <c r="C25" s="7"/>
      <c r="F25" s="35"/>
      <c r="G25" s="42"/>
      <c r="I25" s="20"/>
      <c r="J25" s="56"/>
      <c r="K25" s="42"/>
      <c r="M25" s="20"/>
      <c r="N25" s="56"/>
    </row>
    <row r="26" spans="1:15">
      <c r="A26" s="54"/>
      <c r="B26" s="7" t="str">
        <f>+[3]JUL!B26</f>
        <v>REVENUE DISTRIBUTION INCOME:</v>
      </c>
      <c r="F26" s="35"/>
      <c r="G26" s="42"/>
      <c r="J26" s="35"/>
      <c r="K26" s="42"/>
      <c r="N26" s="35"/>
    </row>
    <row r="27" spans="1:15">
      <c r="A27" s="30"/>
      <c r="C27" s="7" t="str">
        <f>+[3]JUL!C27</f>
        <v>REVENUE DISTRIBUTION</v>
      </c>
      <c r="F27" s="35"/>
      <c r="G27" s="42"/>
      <c r="H27" s="20">
        <f>+'[3]Period 13 WKSHT'!G51</f>
        <v>0</v>
      </c>
      <c r="I27"/>
      <c r="J27" s="57"/>
      <c r="K27" s="42"/>
      <c r="L27" s="20">
        <f>+'[3]Period 13 WKSHT'!J51</f>
        <v>113267643.28999999</v>
      </c>
      <c r="M27"/>
      <c r="N27" s="57"/>
    </row>
    <row r="28" spans="1:15">
      <c r="A28" s="30"/>
      <c r="C28" s="7" t="str">
        <f>+[3]JUL!C28</f>
        <v>REVENUE REFUNDS:  PRIOR YEAR</v>
      </c>
      <c r="F28" s="35"/>
      <c r="G28" s="42"/>
      <c r="H28" s="2">
        <f>+'[3]Period 13 WKSHT'!G52</f>
        <v>0</v>
      </c>
      <c r="I28"/>
      <c r="J28" s="57"/>
      <c r="K28" s="42"/>
      <c r="L28" s="2">
        <f>+'[3]Period 13 WKSHT'!J52</f>
        <v>0</v>
      </c>
      <c r="M28"/>
      <c r="N28" s="57"/>
    </row>
    <row r="29" spans="1:15">
      <c r="A29" s="30"/>
      <c r="C29" s="7" t="str">
        <f>+[3]JUL!C29</f>
        <v>REVENUE REFUNDS:  CURRENT YEAR</v>
      </c>
      <c r="F29" s="35"/>
      <c r="G29" s="42"/>
      <c r="H29" s="2">
        <f>+'[3]Period 13 WKSHT'!G53</f>
        <v>-109.62</v>
      </c>
      <c r="I29"/>
      <c r="J29" s="57"/>
      <c r="K29" s="42"/>
      <c r="L29" s="2">
        <f>+'[3]Period 13 WKSHT'!J53</f>
        <v>-162656.24</v>
      </c>
      <c r="M29"/>
      <c r="N29" s="57"/>
    </row>
    <row r="30" spans="1:15">
      <c r="A30" s="30"/>
      <c r="C30" s="7" t="str">
        <f>+[3]JUL!C30</f>
        <v>REFUND OF PRIOR YEAR DISBURSEMENTS</v>
      </c>
      <c r="F30" s="35"/>
      <c r="G30" s="42"/>
      <c r="H30" s="2">
        <f>+'[3]Period 13 WKSHT'!G54</f>
        <v>0</v>
      </c>
      <c r="I30"/>
      <c r="J30" s="57"/>
      <c r="K30" s="42"/>
      <c r="L30" s="2">
        <f>+'[3]Period 13 WKSHT'!J54</f>
        <v>0</v>
      </c>
      <c r="M30"/>
      <c r="N30" s="57"/>
    </row>
    <row r="31" spans="1:15">
      <c r="A31" s="30"/>
      <c r="C31" s="7" t="str">
        <f>+[3]JUL!C31</f>
        <v>UNHONORED CHECKS</v>
      </c>
      <c r="F31" s="35"/>
      <c r="G31" s="42"/>
      <c r="H31" s="2">
        <f>+'[3]Period 13 WKSHT'!G55</f>
        <v>0</v>
      </c>
      <c r="I31"/>
      <c r="J31" s="57"/>
      <c r="K31" s="42"/>
      <c r="L31" s="2">
        <f>+'[3]Period 13 WKSHT'!J55</f>
        <v>0</v>
      </c>
      <c r="M31"/>
      <c r="N31" s="57"/>
    </row>
    <row r="32" spans="1:15">
      <c r="A32" s="30"/>
      <c r="C32" s="7" t="str">
        <f>+[3]JUL!C32</f>
        <v>RECEIPT ADJUSTMENTS</v>
      </c>
      <c r="F32" s="35"/>
      <c r="G32" s="42"/>
      <c r="H32" s="11">
        <f>+'[3]Period 13 WKSHT'!G56</f>
        <v>50.72</v>
      </c>
      <c r="I32" s="2">
        <f>SUM(H27:H32)</f>
        <v>-58.900000000000006</v>
      </c>
      <c r="J32" s="35"/>
      <c r="K32" s="42"/>
      <c r="L32" s="11">
        <f>+'[3]Period 13 WKSHT'!J56</f>
        <v>642003.79999999993</v>
      </c>
      <c r="M32" s="2">
        <f>SUM(L27:L32)</f>
        <v>113746990.84999999</v>
      </c>
      <c r="N32" s="35"/>
    </row>
    <row r="33" spans="1:15">
      <c r="A33" s="30"/>
      <c r="F33" s="35"/>
      <c r="G33" s="42"/>
      <c r="J33" s="35"/>
      <c r="K33" s="42"/>
      <c r="N33" s="35"/>
    </row>
    <row r="34" spans="1:15">
      <c r="A34" s="53"/>
      <c r="B34" s="7" t="str">
        <f>+[3]JUL!B34</f>
        <v>INVESTMENT INCOME</v>
      </c>
      <c r="C34"/>
      <c r="F34" s="35"/>
      <c r="G34" s="42"/>
      <c r="I34" s="2">
        <f>+'[3]Period 13 WKSHT'!H58</f>
        <v>0</v>
      </c>
      <c r="J34" s="35"/>
      <c r="K34" s="42"/>
      <c r="M34" s="2">
        <f>+'[3]Period 13 WKSHT'!K58</f>
        <v>4471782.5999999996</v>
      </c>
      <c r="N34" s="35"/>
    </row>
    <row r="35" spans="1:15">
      <c r="A35" s="30"/>
      <c r="F35" s="35"/>
      <c r="G35" s="42"/>
      <c r="J35" s="35"/>
      <c r="K35" s="42"/>
      <c r="N35" s="35"/>
    </row>
    <row r="36" spans="1:15">
      <c r="A36" s="30"/>
      <c r="B36" s="7" t="str">
        <f>+[3]JUL!B36</f>
        <v>OTHER REVENUE</v>
      </c>
      <c r="C36"/>
      <c r="F36" s="35"/>
      <c r="G36" s="42"/>
      <c r="I36" s="2">
        <f>+'[3]Period 13 WKSHT'!H60</f>
        <v>0</v>
      </c>
      <c r="J36" s="35"/>
      <c r="K36" s="42"/>
      <c r="M36" s="2">
        <f>+'[3]Period 13 WKSHT'!K60</f>
        <v>12931.36</v>
      </c>
      <c r="N36" s="35"/>
    </row>
    <row r="37" spans="1:15">
      <c r="A37" s="30"/>
      <c r="F37" s="35"/>
      <c r="G37" s="42"/>
      <c r="J37" s="35"/>
      <c r="K37" s="42"/>
      <c r="N37" s="35"/>
    </row>
    <row r="38" spans="1:15">
      <c r="A38" s="53"/>
      <c r="B38" s="7" t="str">
        <f>+[3]JUL!B38</f>
        <v>EXPENDITURES</v>
      </c>
      <c r="F38" s="35"/>
      <c r="G38" s="42"/>
      <c r="I38" s="11">
        <f>+'[3]Period 13 WKSHT'!H64</f>
        <v>384889.64999999106</v>
      </c>
      <c r="J38" s="35"/>
      <c r="K38" s="42"/>
      <c r="M38" s="11">
        <f>+'[3]Period 13 WKSHT'!K64</f>
        <v>84216410.769999996</v>
      </c>
      <c r="N38" s="35"/>
    </row>
    <row r="39" spans="1:15">
      <c r="A39" s="30"/>
      <c r="F39" s="35"/>
      <c r="G39" s="42"/>
      <c r="J39" s="35"/>
      <c r="K39" s="42"/>
      <c r="N39" s="35"/>
    </row>
    <row r="40" spans="1:15" ht="13.5" thickBot="1">
      <c r="A40" s="53"/>
      <c r="B40" s="7" t="str">
        <f>+'[3]Period 13 WKSHT'!B66</f>
        <v>CASH BALANCE FINAL Period 13, 2024</v>
      </c>
      <c r="F40" s="35"/>
      <c r="G40" s="42"/>
      <c r="I40" s="21">
        <f>+I24+I32+I34+I36-I38</f>
        <v>107886922.68000001</v>
      </c>
      <c r="J40" s="56"/>
      <c r="K40" s="42"/>
      <c r="M40" s="21">
        <f>+M22+M32+M34+M36-M38</f>
        <v>107886922.68000002</v>
      </c>
      <c r="N40" s="56"/>
      <c r="O40" s="2">
        <f>+I40-'[3]Period 13 WKSHT'!H66</f>
        <v>0</v>
      </c>
    </row>
    <row r="41" spans="1:15" ht="13.5" thickBot="1">
      <c r="A41" s="38"/>
      <c r="B41" s="39"/>
      <c r="C41" s="39"/>
      <c r="D41" s="39"/>
      <c r="E41" s="39"/>
      <c r="F41" s="40"/>
      <c r="G41" s="43"/>
      <c r="H41" s="14"/>
      <c r="I41" s="14"/>
      <c r="J41" s="40"/>
      <c r="K41" s="43"/>
      <c r="L41" s="14"/>
      <c r="M41" s="14"/>
      <c r="N41" s="40"/>
      <c r="O41" s="2">
        <f>+M40-'[3]Period 13 WKSHT'!K66</f>
        <v>0</v>
      </c>
    </row>
    <row r="42" spans="1:15" ht="13.5" thickBot="1"/>
    <row r="43" spans="1:15" ht="13.5" thickBot="1">
      <c r="A43" s="45" t="str">
        <f>+[3]JUL!A43</f>
        <v>FIREFIGHTERS FOUNDATION FUND</v>
      </c>
      <c r="B43" s="27"/>
      <c r="C43" s="27"/>
      <c r="D43" s="27"/>
      <c r="E43" s="27"/>
      <c r="F43" s="29"/>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7" t="str">
        <f>+B22</f>
        <v>BALANCE FORWARDED FROM FISCAL YEAR 2023</v>
      </c>
      <c r="F46" s="35"/>
      <c r="G46" s="42"/>
      <c r="J46" s="35"/>
      <c r="K46" s="42"/>
      <c r="M46" s="20">
        <f>+'[3]Period 13 WKSHT'!K69</f>
        <v>38612985.210000001</v>
      </c>
      <c r="N46" s="35"/>
    </row>
    <row r="47" spans="1:15">
      <c r="A47" s="49"/>
      <c r="F47" s="35"/>
      <c r="G47" s="42"/>
      <c r="J47" s="35"/>
      <c r="K47" s="42"/>
      <c r="N47" s="35"/>
    </row>
    <row r="48" spans="1:15">
      <c r="A48" s="53">
        <f>+A24</f>
        <v>0</v>
      </c>
      <c r="B48" s="6" t="str">
        <f>+B24</f>
        <v>CASH BALANCE JUNE 30, 2024</v>
      </c>
      <c r="F48" s="61"/>
      <c r="G48" s="42"/>
      <c r="I48" s="20">
        <f>+'[3]Period 13 WKSHT'!H71</f>
        <v>49558609.639999986</v>
      </c>
      <c r="J48" s="56"/>
      <c r="K48" s="42"/>
      <c r="M48" s="20"/>
      <c r="N48" s="56"/>
    </row>
    <row r="49" spans="1:15">
      <c r="A49" s="30"/>
      <c r="B49" s="7"/>
      <c r="F49" s="61"/>
      <c r="G49" s="42"/>
      <c r="I49" s="20"/>
      <c r="J49" s="56"/>
      <c r="K49" s="42"/>
      <c r="M49" s="20"/>
      <c r="N49" s="56"/>
    </row>
    <row r="50" spans="1:15">
      <c r="A50" s="54">
        <f>+A26</f>
        <v>0</v>
      </c>
      <c r="B50" s="7" t="str">
        <f>+[3]JUL!B50</f>
        <v>REVENUE DISTRIBUTION INCOME:</v>
      </c>
      <c r="C50" s="1"/>
      <c r="F50" s="61"/>
      <c r="G50" s="42"/>
      <c r="J50" s="35"/>
      <c r="K50" s="42"/>
      <c r="N50" s="35"/>
    </row>
    <row r="51" spans="1:15">
      <c r="A51" s="30"/>
      <c r="B51" s="7"/>
      <c r="C51" s="7" t="str">
        <f>+[3]JUL!C51</f>
        <v>REVENUE DISTRIBUTION</v>
      </c>
      <c r="F51" s="61"/>
      <c r="G51" s="42"/>
      <c r="H51" s="20">
        <f>+'[3]Period 13 WKSHT'!G76</f>
        <v>0</v>
      </c>
      <c r="I51"/>
      <c r="J51" s="57"/>
      <c r="K51" s="42"/>
      <c r="L51" s="20">
        <f>+'[3]Period 13 WKSHT'!J76</f>
        <v>58886618.940000005</v>
      </c>
      <c r="M51"/>
      <c r="N51" s="57"/>
    </row>
    <row r="52" spans="1:15">
      <c r="A52" s="30"/>
      <c r="B52" s="7"/>
      <c r="C52" s="7" t="str">
        <f>+[3]JUL!C52</f>
        <v>REVENUE REFUNDS:  PRIOR YEAR</v>
      </c>
      <c r="F52" s="61"/>
      <c r="G52" s="42"/>
      <c r="H52" s="2">
        <f>+'[3]Period 13 WKSHT'!G77</f>
        <v>0</v>
      </c>
      <c r="I52"/>
      <c r="J52" s="57"/>
      <c r="K52" s="42"/>
      <c r="L52" s="2">
        <f>+'[3]Period 13 WKSHT'!J77</f>
        <v>0</v>
      </c>
      <c r="M52"/>
      <c r="N52" s="57"/>
    </row>
    <row r="53" spans="1:15">
      <c r="A53" s="30"/>
      <c r="C53" s="7" t="str">
        <f>+[3]JUL!C53</f>
        <v>REVENUE REFUNDS:  CURRENT YEAR</v>
      </c>
      <c r="F53" s="61"/>
      <c r="G53" s="42"/>
      <c r="H53" s="2">
        <f>+'[3]Period 13 WKSHT'!G78</f>
        <v>-30.92</v>
      </c>
      <c r="I53"/>
      <c r="J53" s="57"/>
      <c r="K53" s="42"/>
      <c r="L53" s="2">
        <f>+'[3]Period 13 WKSHT'!J78</f>
        <v>-45877.38</v>
      </c>
      <c r="M53"/>
      <c r="N53" s="57"/>
    </row>
    <row r="54" spans="1:15">
      <c r="A54" s="30"/>
      <c r="B54" s="7"/>
      <c r="C54" s="7" t="str">
        <f>+[3]JUL!C54</f>
        <v>REFUND OF PRIOR YEAR DISBURSEMENTS</v>
      </c>
      <c r="F54" s="61"/>
      <c r="G54" s="42"/>
      <c r="H54" s="2">
        <f>+'[3]Period 13 WKSHT'!G79</f>
        <v>0</v>
      </c>
      <c r="I54"/>
      <c r="J54" s="57"/>
      <c r="K54" s="42"/>
      <c r="L54" s="2">
        <f>+'[3]Period 13 WKSHT'!J79</f>
        <v>0</v>
      </c>
      <c r="M54"/>
      <c r="N54" s="57"/>
    </row>
    <row r="55" spans="1:15">
      <c r="A55" s="30"/>
      <c r="C55" s="7" t="str">
        <f>+[3]JUL!C55</f>
        <v>UNHONORED CHECKS</v>
      </c>
      <c r="F55" s="61"/>
      <c r="G55" s="42"/>
      <c r="H55" s="2">
        <f>+'[3]Period 13 WKSHT'!G80</f>
        <v>0</v>
      </c>
      <c r="I55"/>
      <c r="J55" s="57"/>
      <c r="K55" s="42"/>
      <c r="L55" s="2">
        <f>+'[3]Period 13 WKSHT'!J80</f>
        <v>0</v>
      </c>
      <c r="M55"/>
      <c r="N55" s="57"/>
    </row>
    <row r="56" spans="1:15">
      <c r="A56" s="30"/>
      <c r="C56" s="7" t="str">
        <f>+[3]JUL!C56</f>
        <v>RECEIPT ADJUSTMENTS</v>
      </c>
      <c r="F56" s="61"/>
      <c r="G56" s="42"/>
      <c r="H56" s="11">
        <f>+'[3]Period 13 WKSHT'!G81</f>
        <v>-50.72</v>
      </c>
      <c r="I56" s="2">
        <f>SUM(H51:H56)</f>
        <v>-81.64</v>
      </c>
      <c r="J56" s="35"/>
      <c r="K56" s="42"/>
      <c r="L56" s="11">
        <f>+'[3]Period 13 WKSHT'!J81</f>
        <v>-731532.72</v>
      </c>
      <c r="M56" s="2">
        <f>SUM(L51:L56)</f>
        <v>58109208.840000004</v>
      </c>
      <c r="N56" s="35"/>
    </row>
    <row r="57" spans="1:15">
      <c r="A57" s="30"/>
      <c r="F57" s="61"/>
      <c r="G57" s="42"/>
      <c r="J57" s="35"/>
      <c r="K57" s="42"/>
      <c r="N57" s="35"/>
    </row>
    <row r="58" spans="1:15">
      <c r="A58" s="53">
        <f>+A34</f>
        <v>0</v>
      </c>
      <c r="B58" s="7" t="str">
        <f>+[3]JUL!B58</f>
        <v>INVESTMENT INCOME</v>
      </c>
      <c r="C58" s="1"/>
      <c r="F58" s="61"/>
      <c r="G58" s="42"/>
      <c r="I58" s="2">
        <f>+'[3]Period 13 WKSHT'!H83</f>
        <v>0</v>
      </c>
      <c r="J58" s="35"/>
      <c r="K58" s="42"/>
      <c r="M58" s="2">
        <f>+'[3]Period 13 WKSHT'!K83</f>
        <v>2006735.87</v>
      </c>
      <c r="N58" s="35"/>
    </row>
    <row r="59" spans="1:15">
      <c r="A59" s="30"/>
      <c r="F59" s="61"/>
      <c r="G59" s="42"/>
      <c r="J59" s="35"/>
      <c r="K59" s="42"/>
      <c r="N59" s="35"/>
    </row>
    <row r="60" spans="1:15">
      <c r="A60" s="30"/>
      <c r="B60" s="7" t="str">
        <f>+[3]JUL!B60</f>
        <v>OTHER REVENUE</v>
      </c>
      <c r="C60" s="1"/>
      <c r="F60" s="61"/>
      <c r="G60" s="42"/>
      <c r="I60" s="2">
        <f>+'[3]Period 13 WKSHT'!H85</f>
        <v>0</v>
      </c>
      <c r="J60" s="35"/>
      <c r="K60" s="42"/>
      <c r="M60" s="2">
        <f>+'[3]Period 13 WKSHT'!K85</f>
        <v>0</v>
      </c>
      <c r="N60" s="35"/>
    </row>
    <row r="61" spans="1:15">
      <c r="A61" s="30"/>
      <c r="F61" s="61"/>
      <c r="G61" s="42"/>
      <c r="J61" s="35"/>
      <c r="K61" s="42"/>
      <c r="N61" s="35"/>
    </row>
    <row r="62" spans="1:15">
      <c r="A62" s="30"/>
      <c r="B62" s="7" t="str">
        <f>+[3]JUL!B62</f>
        <v>EXPENDITURES</v>
      </c>
      <c r="F62" s="61"/>
      <c r="G62" s="42"/>
      <c r="I62" s="11">
        <f>+'[3]Period 13 WKSHT'!H87</f>
        <v>0</v>
      </c>
      <c r="J62" s="35"/>
      <c r="K62" s="42"/>
      <c r="M62" s="11">
        <f>+'[3]Period 13 WKSHT'!K87</f>
        <v>49170401.920000002</v>
      </c>
      <c r="N62" s="35"/>
    </row>
    <row r="63" spans="1:15">
      <c r="A63" s="30"/>
      <c r="F63" s="61"/>
      <c r="G63" s="42"/>
      <c r="J63" s="35"/>
      <c r="K63" s="42"/>
      <c r="N63" s="35"/>
      <c r="O63" s="2">
        <f>+I64-'[3]Period 13 WKSHT'!H89</f>
        <v>0</v>
      </c>
    </row>
    <row r="64" spans="1:15" ht="13.5" thickBot="1">
      <c r="A64" s="30">
        <f>+A38</f>
        <v>0</v>
      </c>
      <c r="B64" s="7" t="str">
        <f>+B40</f>
        <v>CASH BALANCE FINAL Period 13, 2024</v>
      </c>
      <c r="F64" s="61"/>
      <c r="G64" s="42"/>
      <c r="I64" s="21">
        <f>+I48+I56+I58+I60-I62</f>
        <v>49558527.999999985</v>
      </c>
      <c r="J64" s="56"/>
      <c r="K64" s="42"/>
      <c r="M64" s="21">
        <f>+M46+M56+M58+M60-M62</f>
        <v>49558528.000000015</v>
      </c>
      <c r="N64" s="56"/>
      <c r="O64" s="2">
        <f>+M64-'[3]Period 13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100"/>
  <sheetViews>
    <sheetView topLeftCell="A13" zoomScale="90" zoomScaleNormal="90" workbookViewId="0">
      <selection activeCell="K46" sqref="K46"/>
    </sheetView>
  </sheetViews>
  <sheetFormatPr defaultColWidth="9.140625" defaultRowHeight="12.75"/>
  <cols>
    <col min="1" max="4" width="3.7109375" style="82" customWidth="1"/>
    <col min="5" max="5" width="29.7109375" style="82" customWidth="1"/>
    <col min="6" max="7" width="14.7109375" style="8" customWidth="1"/>
    <col min="8" max="8" width="14.42578125" style="8" customWidth="1"/>
    <col min="9" max="9" width="1.7109375" style="8" customWidth="1"/>
    <col min="10" max="11" width="14.7109375" style="8" customWidth="1"/>
    <col min="12" max="12" width="20.85546875" style="8" customWidth="1"/>
    <col min="13" max="13" width="19.42578125" style="8" customWidth="1"/>
    <col min="14" max="14" width="14.28515625" style="8" bestFit="1" customWidth="1"/>
    <col min="15" max="15" width="16" style="8" customWidth="1"/>
    <col min="16" max="16" width="15.42578125" style="8" customWidth="1"/>
    <col min="17" max="17" width="14.28515625" style="8" bestFit="1" customWidth="1"/>
    <col min="18" max="16384" width="9.140625" style="8"/>
  </cols>
  <sheetData>
    <row r="1" spans="1:15" s="80" customFormat="1" ht="15">
      <c r="A1" s="58" t="s">
        <v>0</v>
      </c>
      <c r="B1" s="58"/>
      <c r="C1" s="58"/>
      <c r="D1" s="58"/>
      <c r="E1" s="58"/>
      <c r="F1" s="58"/>
      <c r="G1" s="58"/>
      <c r="H1" s="58"/>
      <c r="I1" s="58"/>
      <c r="J1" s="58"/>
      <c r="K1" s="58"/>
    </row>
    <row r="2" spans="1:15" s="80" customFormat="1" ht="15">
      <c r="A2" s="59" t="s">
        <v>1</v>
      </c>
      <c r="B2" s="58"/>
      <c r="C2" s="58"/>
      <c r="D2" s="58"/>
      <c r="E2" s="58"/>
      <c r="F2" s="58"/>
      <c r="G2" s="58"/>
      <c r="H2" s="58"/>
      <c r="I2" s="58"/>
      <c r="J2" s="58"/>
      <c r="K2" s="58"/>
    </row>
    <row r="3" spans="1:15" s="80" customFormat="1" ht="15">
      <c r="A3" s="58" t="s">
        <v>2</v>
      </c>
      <c r="B3" s="58"/>
      <c r="C3" s="58"/>
      <c r="D3" s="58"/>
      <c r="E3" s="58"/>
      <c r="F3" s="58"/>
      <c r="G3" s="58"/>
      <c r="H3" s="58"/>
      <c r="I3" s="58"/>
      <c r="J3" s="58"/>
      <c r="K3" s="58"/>
    </row>
    <row r="4" spans="1:15" s="80" customFormat="1" ht="15">
      <c r="A4" s="137" t="s">
        <v>88</v>
      </c>
      <c r="B4" s="142"/>
      <c r="C4" s="142"/>
      <c r="D4" s="142"/>
      <c r="E4" s="142"/>
      <c r="F4" s="142"/>
      <c r="G4" s="58"/>
      <c r="H4" s="58"/>
      <c r="I4" s="58"/>
      <c r="J4" s="58"/>
      <c r="K4" s="58"/>
    </row>
    <row r="5" spans="1:15" ht="4.9000000000000004" customHeight="1" thickBot="1">
      <c r="A5" s="81"/>
      <c r="B5" s="81"/>
      <c r="C5" s="81"/>
      <c r="D5" s="81"/>
      <c r="E5" s="81"/>
      <c r="F5" s="81"/>
      <c r="G5" s="81"/>
      <c r="H5" s="81"/>
      <c r="I5" s="81"/>
      <c r="J5" s="81"/>
      <c r="K5" s="81"/>
    </row>
    <row r="7" spans="1:15">
      <c r="B7" s="83"/>
      <c r="C7" s="83"/>
      <c r="D7" s="83"/>
      <c r="G7" s="84" t="s">
        <v>3</v>
      </c>
      <c r="H7" s="84"/>
      <c r="I7" s="85"/>
      <c r="J7" s="84" t="s">
        <v>4</v>
      </c>
      <c r="K7" s="86"/>
      <c r="L7" s="87" t="s">
        <v>5</v>
      </c>
    </row>
    <row r="8" spans="1:15">
      <c r="A8" s="70" t="str">
        <f>+'JUL WKSHT'!A8</f>
        <v>DEPARTMENT OF REVENUE SURTAX RECEIPTS COLLECTED (14E6-130-D130-R000-R284, R285, R286)</v>
      </c>
    </row>
    <row r="9" spans="1:15">
      <c r="B9" s="88" t="str">
        <f>+'JUL WKSHT'!B9</f>
        <v>GROSS RECEIPTS (REVENUE DISTRIBUTION)</v>
      </c>
      <c r="C9" s="88"/>
      <c r="E9" s="8"/>
    </row>
    <row r="10" spans="1:15">
      <c r="B10" s="88"/>
      <c r="C10" s="88" t="str">
        <f>+'JUL WKSHT'!C10</f>
        <v>VOLUNTEER FIRE DEPARTMENT AID</v>
      </c>
      <c r="E10" s="8"/>
    </row>
    <row r="11" spans="1:15">
      <c r="D11" s="88" t="str">
        <f>+'JUL WKSHT'!D11</f>
        <v>R284 Volunteer Fire Dept Aid Fund</v>
      </c>
      <c r="E11" s="8"/>
      <c r="H11" s="125">
        <v>2189064.38</v>
      </c>
      <c r="K11" s="90">
        <f>+H11+'JUL WKSHT'!K11</f>
        <v>4438431.55</v>
      </c>
    </row>
    <row r="12" spans="1:15">
      <c r="C12" s="88" t="str">
        <f>+'JUL WKSHT'!C12</f>
        <v>LAW ENFORCEMENT AND FIREFIGHTERS FUND</v>
      </c>
      <c r="E12" s="8"/>
      <c r="G12" s="90"/>
      <c r="J12" s="90"/>
    </row>
    <row r="13" spans="1:15">
      <c r="D13" s="88" t="str">
        <f>+'JUL WKSHT'!D13</f>
        <v>R285 Law Enforcement Fund</v>
      </c>
      <c r="E13" s="8"/>
      <c r="F13" s="90"/>
      <c r="G13" s="125">
        <v>10000395.939999999</v>
      </c>
      <c r="J13" s="90">
        <f>+G13+'JUL WKSHT'!J13</f>
        <v>19075007.350000001</v>
      </c>
    </row>
    <row r="14" spans="1:15">
      <c r="D14" s="88" t="str">
        <f>+'JUL WKSHT'!D14</f>
        <v>R286 Firefighters Fund</v>
      </c>
      <c r="E14" s="8"/>
      <c r="G14" s="124">
        <v>2820624.52</v>
      </c>
      <c r="H14" s="77">
        <f>SUM(G13:G14)</f>
        <v>12821020.459999999</v>
      </c>
      <c r="I14" s="90"/>
      <c r="J14" s="77">
        <f>+G14+'JUL WKSHT'!J14</f>
        <v>5380130.3100000005</v>
      </c>
      <c r="K14" s="77">
        <f>SUM(J13:J14)</f>
        <v>24455137.660000004</v>
      </c>
      <c r="N14" s="36"/>
      <c r="O14" s="36"/>
    </row>
    <row r="15" spans="1:15">
      <c r="E15" s="8"/>
      <c r="G15" s="91"/>
      <c r="H15" s="90">
        <f>SUM(H11:H14)</f>
        <v>15010084.84</v>
      </c>
      <c r="I15" s="90"/>
      <c r="J15" s="36"/>
      <c r="K15" s="90">
        <f>SUM(K11:K14)</f>
        <v>28893569.210000005</v>
      </c>
      <c r="L15" s="8">
        <f>+J51+J76-K15</f>
        <v>0</v>
      </c>
      <c r="N15" s="36"/>
      <c r="O15" s="36"/>
    </row>
    <row r="16" spans="1:15">
      <c r="E16" s="8"/>
      <c r="G16" s="91"/>
      <c r="H16" s="90"/>
      <c r="I16" s="90"/>
      <c r="J16" s="36"/>
      <c r="K16" s="90"/>
      <c r="N16" s="36"/>
      <c r="O16" s="185"/>
    </row>
    <row r="17" spans="2:15">
      <c r="B17" s="88" t="str">
        <f>+'JUL WKSHT'!B17</f>
        <v>OTHER DISTRIBUTIONS (review JVs other than Revenue Distribution)</v>
      </c>
      <c r="E17" s="8"/>
      <c r="G17" s="92"/>
      <c r="H17" s="90"/>
      <c r="I17" s="90"/>
      <c r="K17" s="90"/>
      <c r="N17" s="36"/>
      <c r="O17" s="36"/>
    </row>
    <row r="18" spans="2:15">
      <c r="B18" s="8"/>
      <c r="C18" s="88" t="str">
        <f>+'JUL WKSHT'!C18</f>
        <v>REVENUE REFUNDS</v>
      </c>
      <c r="D18" s="88"/>
      <c r="E18" s="8"/>
    </row>
    <row r="19" spans="2:15">
      <c r="B19" s="8"/>
      <c r="C19" s="88"/>
      <c r="D19" s="88" t="str">
        <f>+'JUL WKSHT'!D19</f>
        <v>R284</v>
      </c>
      <c r="E19" s="8"/>
      <c r="G19" s="125"/>
      <c r="J19" s="90">
        <f>+G19+'JUL WKSHT'!J19</f>
        <v>0</v>
      </c>
    </row>
    <row r="20" spans="2:15">
      <c r="B20" s="8"/>
      <c r="C20" s="88"/>
      <c r="D20" s="88" t="str">
        <f>+'JUL WKSHT'!D20</f>
        <v>R285</v>
      </c>
      <c r="E20" s="8"/>
      <c r="G20" s="126">
        <v>-4349.67</v>
      </c>
      <c r="J20" s="8">
        <f>+G20+'JUL WKSHT'!J20</f>
        <v>-4772.9800000000005</v>
      </c>
    </row>
    <row r="21" spans="2:15">
      <c r="B21" s="8"/>
      <c r="C21" s="88"/>
      <c r="D21" s="88" t="str">
        <f>+'JUL WKSHT'!D21</f>
        <v>R286</v>
      </c>
      <c r="E21" s="8"/>
      <c r="F21" s="94"/>
      <c r="G21" s="124">
        <v>-1226.83</v>
      </c>
      <c r="H21" s="8">
        <f>SUM(G19:G21)</f>
        <v>-5576.5</v>
      </c>
      <c r="J21" s="77">
        <f>+G21+'JUL WKSHT'!J21</f>
        <v>-1346.22</v>
      </c>
      <c r="K21" s="8">
        <f>SUM(J19:J21)</f>
        <v>-6119.2000000000007</v>
      </c>
      <c r="L21" s="112">
        <f>+J52+J53+J77+J78-K21</f>
        <v>5576.5000000000009</v>
      </c>
    </row>
    <row r="22" spans="2:15">
      <c r="B22" s="8"/>
      <c r="C22" s="88" t="str">
        <f>+'JUL WKSHT'!C22</f>
        <v>UNHONORED CHECKS</v>
      </c>
      <c r="E22" s="8"/>
      <c r="F22" s="94"/>
    </row>
    <row r="23" spans="2:15">
      <c r="B23" s="8"/>
      <c r="D23" s="88" t="str">
        <f>+'JUL WKSHT'!D23</f>
        <v>R284</v>
      </c>
      <c r="E23" s="8"/>
      <c r="G23" s="125"/>
      <c r="H23" s="8" t="s">
        <v>32</v>
      </c>
      <c r="J23" s="90">
        <f>+G23+'JUL WKSHT'!J23</f>
        <v>0</v>
      </c>
    </row>
    <row r="24" spans="2:15">
      <c r="B24" s="8"/>
      <c r="D24" s="88" t="str">
        <f>+'JUL WKSHT'!D24</f>
        <v>R285</v>
      </c>
      <c r="E24" s="8"/>
      <c r="G24" s="126"/>
      <c r="H24" s="8" t="s">
        <v>32</v>
      </c>
      <c r="J24" s="8">
        <f>+G24+'JUL WKSHT'!J24</f>
        <v>0</v>
      </c>
    </row>
    <row r="25" spans="2:15">
      <c r="B25" s="8"/>
      <c r="D25" s="88" t="str">
        <f>+'JUL WKSHT'!D25</f>
        <v>R286</v>
      </c>
      <c r="E25" s="8"/>
      <c r="G25" s="124"/>
      <c r="H25" s="8">
        <f>SUM(G23:G25)</f>
        <v>0</v>
      </c>
      <c r="J25" s="77">
        <f>+G25+'JUL WKSHT'!J25</f>
        <v>0</v>
      </c>
      <c r="K25" s="8">
        <f>SUM(J23:J25)</f>
        <v>0</v>
      </c>
      <c r="L25" s="8">
        <f>+J55+J80-K25</f>
        <v>0</v>
      </c>
    </row>
    <row r="26" spans="2:15">
      <c r="B26" s="8"/>
      <c r="C26" s="88" t="str">
        <f>+'JUL WKSHT'!C26</f>
        <v>RECEIPT ADJUSTMENTS</v>
      </c>
      <c r="E26" s="8"/>
    </row>
    <row r="27" spans="2:15">
      <c r="B27" s="8"/>
      <c r="D27" s="88" t="str">
        <f>+'JUL WKSHT'!D27</f>
        <v>R284</v>
      </c>
      <c r="E27" s="8"/>
      <c r="G27" s="165">
        <v>-167876.54</v>
      </c>
      <c r="H27" s="8" t="s">
        <v>32</v>
      </c>
      <c r="J27" s="90">
        <f>+G27+'JUL WKSHT'!J27</f>
        <v>-167901.94</v>
      </c>
    </row>
    <row r="28" spans="2:15">
      <c r="B28" s="8"/>
      <c r="D28" s="88" t="str">
        <f>+'JUL WKSHT'!D28</f>
        <v>R285</v>
      </c>
      <c r="E28" s="8"/>
      <c r="G28" s="219">
        <v>159710.53</v>
      </c>
      <c r="H28" s="8" t="s">
        <v>32</v>
      </c>
      <c r="J28" s="8">
        <f>+G28+'JUL WKSHT'!J28</f>
        <v>159710.53</v>
      </c>
    </row>
    <row r="29" spans="2:15">
      <c r="B29" s="8"/>
      <c r="D29" s="88" t="str">
        <f>+'JUL WKSHT'!D29</f>
        <v>R286</v>
      </c>
      <c r="E29" s="8"/>
      <c r="G29" s="251">
        <v>45046.559999999998</v>
      </c>
      <c r="H29" s="77">
        <f>SUM(G27:G29)</f>
        <v>36880.549999999988</v>
      </c>
      <c r="J29" s="77">
        <f>+G29+'JUL WKSHT'!J29</f>
        <v>45046.559999999998</v>
      </c>
      <c r="K29" s="77">
        <f>SUM(J27:J29)</f>
        <v>36855.149999999994</v>
      </c>
      <c r="L29" s="2">
        <f>+J56+J81-K29</f>
        <v>0</v>
      </c>
    </row>
    <row r="30" spans="2:15" ht="13.5" thickBot="1">
      <c r="B30" s="8"/>
      <c r="D30" s="88" t="str">
        <f>+'JUL WKSHT'!D30</f>
        <v>NET RECEIPTS TO BE DISTRIBUTED</v>
      </c>
      <c r="E30" s="8"/>
      <c r="H30" s="93">
        <f>SUM(H15:H29)</f>
        <v>15041388.890000001</v>
      </c>
      <c r="I30" s="91"/>
      <c r="K30" s="93">
        <f>SUM(K15:K29)</f>
        <v>28924305.160000004</v>
      </c>
    </row>
    <row r="32" spans="2:15">
      <c r="B32" s="88" t="str">
        <f>+'JUL WKSHT'!B32</f>
        <v>TOTAL</v>
      </c>
      <c r="D32" s="8"/>
    </row>
    <row r="33" spans="1:12">
      <c r="C33" s="88" t="str">
        <f>+'JUL WKSHT'!C33</f>
        <v>R284</v>
      </c>
      <c r="D33" s="8"/>
      <c r="G33" s="90">
        <f>+G27+G23+G19+H11</f>
        <v>2021187.8399999999</v>
      </c>
      <c r="J33" s="90">
        <f>+J27+J23+J19+K11</f>
        <v>4270529.6099999994</v>
      </c>
    </row>
    <row r="34" spans="1:12">
      <c r="C34" s="88" t="str">
        <f>+'JUL WKSHT'!C34</f>
        <v>R285</v>
      </c>
      <c r="D34" s="8"/>
      <c r="G34" s="8">
        <f>+G28+G24+G20+G13</f>
        <v>10155756.799999999</v>
      </c>
      <c r="J34" s="8">
        <f>+J28+J24+J20+J13</f>
        <v>19229944.900000002</v>
      </c>
    </row>
    <row r="35" spans="1:12">
      <c r="C35" s="88" t="str">
        <f>+'JUL WKSHT'!C35</f>
        <v>R286</v>
      </c>
      <c r="D35" s="8"/>
      <c r="G35" s="77">
        <f>+G29+G25+G21+G14</f>
        <v>2864444.25</v>
      </c>
      <c r="H35" s="90">
        <f>SUM(G33:G35)</f>
        <v>15041388.889999999</v>
      </c>
      <c r="J35" s="77">
        <f>+J29+J25+J21+J14</f>
        <v>5423830.6500000004</v>
      </c>
      <c r="K35" s="90">
        <f>SUM(J33:J35)</f>
        <v>28924305.160000004</v>
      </c>
    </row>
    <row r="37" spans="1:12" ht="21.75" customHeight="1">
      <c r="C37" s="257" t="s">
        <v>60</v>
      </c>
      <c r="D37" s="218"/>
      <c r="E37" s="218"/>
      <c r="F37" s="219"/>
      <c r="G37" s="306" t="s">
        <v>89</v>
      </c>
      <c r="H37" s="305"/>
      <c r="I37" s="219"/>
      <c r="J37" s="112"/>
      <c r="K37" s="216"/>
      <c r="L37" s="216"/>
    </row>
    <row r="38" spans="1:12">
      <c r="C38" s="218"/>
      <c r="D38" s="218"/>
      <c r="E38" s="218" t="s">
        <v>59</v>
      </c>
      <c r="F38" s="219"/>
      <c r="G38" s="222"/>
      <c r="H38" s="255">
        <f>SUM(G39:G41)</f>
        <v>5576.5</v>
      </c>
      <c r="I38" s="219"/>
      <c r="J38" s="112"/>
      <c r="K38" s="216"/>
      <c r="L38" s="216"/>
    </row>
    <row r="39" spans="1:12">
      <c r="C39" s="218"/>
      <c r="D39" s="220"/>
      <c r="E39" s="218" t="s">
        <v>66</v>
      </c>
      <c r="F39" s="219"/>
      <c r="G39" s="219">
        <f>-G19</f>
        <v>0</v>
      </c>
      <c r="H39" s="215"/>
      <c r="I39" s="219"/>
      <c r="J39" s="112"/>
      <c r="K39" s="216"/>
      <c r="L39" s="216"/>
    </row>
    <row r="40" spans="1:12">
      <c r="C40" s="218"/>
      <c r="D40" s="218"/>
      <c r="E40" s="220" t="s">
        <v>65</v>
      </c>
      <c r="F40" s="221"/>
      <c r="G40" s="215">
        <f>-G20</f>
        <v>4349.67</v>
      </c>
      <c r="H40" s="219"/>
      <c r="I40" s="219"/>
      <c r="J40" s="112" t="s">
        <v>32</v>
      </c>
      <c r="K40" s="216"/>
      <c r="L40" s="216"/>
    </row>
    <row r="41" spans="1:12">
      <c r="C41" s="218"/>
      <c r="D41" s="218"/>
      <c r="E41" s="220" t="s">
        <v>66</v>
      </c>
      <c r="F41" s="219"/>
      <c r="G41" s="219">
        <f>-G21</f>
        <v>1226.83</v>
      </c>
      <c r="H41" s="219"/>
      <c r="I41" s="219"/>
      <c r="J41" s="112"/>
      <c r="K41" s="216"/>
      <c r="L41" s="216"/>
    </row>
    <row r="42" spans="1:12" ht="15">
      <c r="C42" s="259" t="s">
        <v>72</v>
      </c>
      <c r="D42" s="218"/>
      <c r="E42" s="220"/>
      <c r="F42" s="219"/>
      <c r="G42" s="305"/>
      <c r="H42" s="219"/>
      <c r="I42" s="219"/>
      <c r="J42" s="112"/>
      <c r="K42" s="216"/>
      <c r="L42" s="216"/>
    </row>
    <row r="43" spans="1:12" ht="15">
      <c r="C43" s="218"/>
      <c r="D43" s="218"/>
      <c r="E43" s="220"/>
      <c r="F43" s="219"/>
      <c r="G43" s="305"/>
      <c r="H43" s="219"/>
      <c r="I43" s="219"/>
      <c r="J43" s="112"/>
      <c r="K43" s="216"/>
      <c r="L43" s="216"/>
    </row>
    <row r="44" spans="1:12">
      <c r="E44" s="88"/>
      <c r="K44" s="216"/>
      <c r="L44" s="216"/>
    </row>
    <row r="45" spans="1:12">
      <c r="A45" s="70" t="str">
        <f>+'JUL WKSHT'!A45</f>
        <v>LAW ENFORCEMENT FOUNDATION FUND (13DB-525-0000)</v>
      </c>
      <c r="K45" s="216"/>
      <c r="L45" s="216"/>
    </row>
    <row r="46" spans="1:12">
      <c r="A46" s="70"/>
      <c r="B46" s="88" t="str">
        <f>+'JUL WKSHT'!B46</f>
        <v>BALANCE FORWARDED FROM FISCAL YEAR 2023</v>
      </c>
      <c r="K46" s="90">
        <f>+'JUL WKSHT'!K46</f>
        <v>73871638.640000001</v>
      </c>
    </row>
    <row r="47" spans="1:12">
      <c r="A47" s="70"/>
      <c r="K47" s="90"/>
    </row>
    <row r="48" spans="1:12">
      <c r="B48" s="89" t="str">
        <f>'JUL WKSHT'!B66</f>
        <v>CASH BALANCE at the end of Accounting Period 1</v>
      </c>
      <c r="H48" s="134">
        <f>+'JUL WKSHT'!H66</f>
        <v>68065440.409999996</v>
      </c>
      <c r="I48" s="90"/>
    </row>
    <row r="49" spans="2:12">
      <c r="B49" s="88"/>
      <c r="H49" s="90"/>
      <c r="I49" s="90"/>
    </row>
    <row r="50" spans="2:12">
      <c r="B50" s="88" t="str">
        <f>+'JUL WKSHT'!B50</f>
        <v>REVENUE DISTRIBUTION INCOME (REVENUE DETAIL WORKSHEET):</v>
      </c>
      <c r="H50" s="67" t="s">
        <v>63</v>
      </c>
      <c r="K50" s="67" t="s">
        <v>63</v>
      </c>
      <c r="L50" s="243"/>
    </row>
    <row r="51" spans="2:12">
      <c r="C51" s="88" t="str">
        <f>+'JUL WKSHT'!C51</f>
        <v>REVENUE DISTRIBUTION (N114)</v>
      </c>
      <c r="G51" s="132">
        <v>19075007.350000001</v>
      </c>
      <c r="H51" s="66">
        <f>+H14*0.78</f>
        <v>10000395.958799999</v>
      </c>
      <c r="J51" s="90">
        <f>+G51+'JUL WKSHT'!J51</f>
        <v>19075007.350000001</v>
      </c>
      <c r="K51" s="66">
        <f>+K14*0.78</f>
        <v>19075007.374800004</v>
      </c>
      <c r="L51" s="151"/>
    </row>
    <row r="52" spans="2:12">
      <c r="C52" s="88" t="str">
        <f>+'JUL WKSHT'!C52</f>
        <v>REVENUE REFUNDS:  PRIOR YEAR</v>
      </c>
      <c r="G52" s="126"/>
      <c r="J52" s="8">
        <f>+G52+'JUL WKSHT'!J52</f>
        <v>0</v>
      </c>
      <c r="L52" s="146"/>
    </row>
    <row r="53" spans="2:12">
      <c r="C53" s="88" t="str">
        <f>+'JUL WKSHT'!C53</f>
        <v>REVENUE REFUNDS:  CURRENT YEAR</v>
      </c>
      <c r="G53" s="126">
        <v>-423.31</v>
      </c>
      <c r="J53" s="8">
        <f>+G53+'JUL WKSHT'!J53</f>
        <v>-423.31</v>
      </c>
      <c r="L53" s="146"/>
    </row>
    <row r="54" spans="2:12">
      <c r="C54" s="88" t="str">
        <f>+'JUL WKSHT'!C54</f>
        <v>REFUND OF PRIOR YEAR DISBURSEMENTS (R881)</v>
      </c>
      <c r="G54" s="126"/>
      <c r="J54" s="8">
        <f>+G54+'JUL WKSHT'!J54</f>
        <v>0</v>
      </c>
      <c r="L54" s="145"/>
    </row>
    <row r="55" spans="2:12">
      <c r="C55" s="88" t="str">
        <f>+'JUL WKSHT'!C55</f>
        <v>UNHONORED CHECKS</v>
      </c>
      <c r="G55" s="126"/>
      <c r="J55" s="8">
        <f>+G55+'JUL WKSHT'!J55</f>
        <v>0</v>
      </c>
      <c r="L55" s="146"/>
    </row>
    <row r="56" spans="2:12">
      <c r="C56" s="88" t="str">
        <f>+'JUL WKSHT'!C56</f>
        <v>RECEIPT ADJUSTMENTS</v>
      </c>
      <c r="G56" s="251">
        <v>159710.53</v>
      </c>
      <c r="H56" s="8">
        <f>SUM(G51:G56)</f>
        <v>19234294.570000004</v>
      </c>
      <c r="J56" s="77">
        <f>+G56+'JUL WKSHT'!J56</f>
        <v>159710.53</v>
      </c>
      <c r="K56" s="8">
        <f>SUM(J51:J56)</f>
        <v>19234294.570000004</v>
      </c>
      <c r="L56" s="146"/>
    </row>
    <row r="57" spans="2:12">
      <c r="L57" s="36"/>
    </row>
    <row r="58" spans="2:12">
      <c r="B58" s="88" t="str">
        <f>+'JUL WKSHT'!B58</f>
        <v>INVESTMENT INCOME (R771)</v>
      </c>
      <c r="C58" s="8"/>
      <c r="H58" s="126">
        <v>317923.74</v>
      </c>
      <c r="K58" s="8">
        <f>+H58+'JUL WKSHT'!K58</f>
        <v>600922.08000000007</v>
      </c>
      <c r="L58" s="145"/>
    </row>
    <row r="59" spans="2:12">
      <c r="L59" s="147" t="s">
        <v>50</v>
      </c>
    </row>
    <row r="60" spans="2:12">
      <c r="B60" s="88" t="str">
        <f>+'JUL WKSHT'!B60</f>
        <v>OTHER REVENUE</v>
      </c>
      <c r="H60" s="187"/>
      <c r="K60" s="8">
        <f>+H60+'JUL WKSHT'!K60</f>
        <v>0</v>
      </c>
      <c r="L60" s="241">
        <f>10120622.13+'JUL WKSHT'!L58</f>
        <v>4171968.2700000005</v>
      </c>
    </row>
    <row r="61" spans="2:12">
      <c r="L61" s="141" t="s">
        <v>54</v>
      </c>
    </row>
    <row r="62" spans="2:12">
      <c r="B62" s="88" t="str">
        <f>+'JUL WKSHT'!B62</f>
        <v>EXPENDITURES (LAW ENFORCEMENT SUMMARY)</v>
      </c>
      <c r="L62" s="141">
        <f>K46</f>
        <v>73871638.640000001</v>
      </c>
    </row>
    <row r="63" spans="2:12">
      <c r="B63" s="88"/>
      <c r="C63" s="82" t="str">
        <f>+'JUL WKSHT'!C63</f>
        <v>CASH EXPENDITURES</v>
      </c>
      <c r="G63" s="151">
        <v>3661456.29</v>
      </c>
      <c r="J63" s="126">
        <v>15663248.380000001</v>
      </c>
      <c r="L63" s="141" t="s">
        <v>55</v>
      </c>
    </row>
    <row r="64" spans="2:12">
      <c r="B64" s="88"/>
      <c r="C64" s="82" t="str">
        <f>+'JUL WKSHT'!C64</f>
        <v>ACCRUED EXPENDITURES</v>
      </c>
      <c r="G64" s="151">
        <v>-2445.8000000000002</v>
      </c>
      <c r="H64" s="77">
        <f>+K64-'JUL WKSHT'!K64</f>
        <v>9431721.8100000005</v>
      </c>
      <c r="J64" s="124">
        <v>-142330</v>
      </c>
      <c r="K64" s="152">
        <f>SUM(J63:J64)</f>
        <v>15520918.380000001</v>
      </c>
      <c r="L64" s="141">
        <f>+J64</f>
        <v>-142330</v>
      </c>
    </row>
    <row r="65" spans="1:17">
      <c r="L65" s="141" t="s">
        <v>53</v>
      </c>
      <c r="M65" s="177" t="s">
        <v>70</v>
      </c>
    </row>
    <row r="66" spans="1:17" ht="13.5" thickBot="1">
      <c r="B66" s="135" t="s">
        <v>86</v>
      </c>
      <c r="C66" s="136"/>
      <c r="D66" s="136"/>
      <c r="E66" s="136"/>
      <c r="H66" s="95">
        <f>+H48+H56+H58+H60-H64</f>
        <v>78185936.909999996</v>
      </c>
      <c r="K66" s="95">
        <f>+K46+K56+K58+K60-K64</f>
        <v>78185936.910000011</v>
      </c>
      <c r="L66" s="140">
        <f>+L60+L62-L64</f>
        <v>78185936.909999996</v>
      </c>
      <c r="M66" s="8">
        <f>L66-K66</f>
        <v>0</v>
      </c>
    </row>
    <row r="67" spans="1:17">
      <c r="B67" s="304" t="s">
        <v>87</v>
      </c>
    </row>
    <row r="68" spans="1:17">
      <c r="A68" s="70" t="str">
        <f>+'JUL WKSHT'!A68</f>
        <v>FIREFIGHTERS FOUNDATION FUND (1341-470-UNIT-PK00)</v>
      </c>
    </row>
    <row r="69" spans="1:17">
      <c r="A69" s="88"/>
      <c r="B69" s="82" t="str">
        <f>+B46</f>
        <v>BALANCE FORWARDED FROM FISCAL YEAR 2023</v>
      </c>
      <c r="K69" s="90">
        <f>+'JUL WKSHT'!K69</f>
        <v>38612985.210000001</v>
      </c>
    </row>
    <row r="70" spans="1:17">
      <c r="A70" s="70"/>
      <c r="K70" s="90"/>
    </row>
    <row r="71" spans="1:17">
      <c r="B71" s="88" t="str">
        <f>+B48</f>
        <v>CASH BALANCE at the end of Accounting Period 1</v>
      </c>
      <c r="H71" s="134">
        <f>+'JUL WKSHT'!H89</f>
        <v>35185762.289999999</v>
      </c>
      <c r="I71" s="90"/>
    </row>
    <row r="72" spans="1:17">
      <c r="B72" s="88"/>
      <c r="H72" s="90"/>
      <c r="I72" s="90"/>
    </row>
    <row r="73" spans="1:17">
      <c r="B73" s="89" t="str">
        <f>+B50</f>
        <v>REVENUE DISTRIBUTION INCOME (REVENUE DETAIL WORKSHEET):</v>
      </c>
    </row>
    <row r="74" spans="1:17">
      <c r="C74" s="88" t="str">
        <f>+C51</f>
        <v>REVENUE DISTRIBUTION (N114)</v>
      </c>
      <c r="H74" s="67" t="s">
        <v>68</v>
      </c>
      <c r="K74" s="67"/>
    </row>
    <row r="75" spans="1:17">
      <c r="C75" s="88"/>
      <c r="D75" s="82" t="str">
        <f>+'JUL WKSHT'!D75</f>
        <v>FIREFIGHTERS FUND</v>
      </c>
      <c r="F75" s="158">
        <v>5380130.3099999996</v>
      </c>
      <c r="G75" s="90"/>
      <c r="H75" s="66">
        <f>+H14*0.22</f>
        <v>2820624.5011999998</v>
      </c>
      <c r="I75" s="66">
        <f>+I14*0.28</f>
        <v>0</v>
      </c>
      <c r="J75" s="66"/>
      <c r="K75" s="66"/>
      <c r="L75" s="138" t="s">
        <v>43</v>
      </c>
    </row>
    <row r="76" spans="1:17">
      <c r="C76" s="88"/>
      <c r="D76" s="88" t="str">
        <f>+'JUL WKSHT'!D76</f>
        <v>VOLUNTEER FIRE DEPT AID</v>
      </c>
      <c r="F76" s="124">
        <v>4438431.55</v>
      </c>
      <c r="G76" s="90">
        <f>SUM(F75:F76)</f>
        <v>9818561.8599999994</v>
      </c>
      <c r="J76" s="90">
        <f>+G76+'JUL WKSHT'!J76</f>
        <v>9818561.8599999994</v>
      </c>
      <c r="L76" s="141">
        <f>+K11+J14</f>
        <v>9818561.8599999994</v>
      </c>
    </row>
    <row r="77" spans="1:17">
      <c r="C77" s="88" t="str">
        <f>+C52</f>
        <v>REVENUE REFUNDS:  PRIOR YEAR</v>
      </c>
      <c r="G77" s="126"/>
      <c r="J77" s="8">
        <f>+G77+'JUL WKSHT'!J77</f>
        <v>0</v>
      </c>
      <c r="L77" s="240" t="s">
        <v>44</v>
      </c>
    </row>
    <row r="78" spans="1:17">
      <c r="C78" s="82" t="str">
        <f>+C53</f>
        <v>REVENUE REFUNDS:  CURRENT YEAR</v>
      </c>
      <c r="G78" s="126">
        <v>-119.39</v>
      </c>
      <c r="J78" s="8">
        <f>+G78+'JUL WKSHT'!J78</f>
        <v>-119.39</v>
      </c>
      <c r="L78" s="168">
        <f>+J76-L76</f>
        <v>0</v>
      </c>
    </row>
    <row r="79" spans="1:17">
      <c r="C79" s="88" t="str">
        <f>+C54</f>
        <v>REFUND OF PRIOR YEAR DISBURSEMENTS (R881)</v>
      </c>
      <c r="G79" s="126"/>
      <c r="J79" s="8">
        <f>+G79+'JUL WKSHT'!J79</f>
        <v>0</v>
      </c>
      <c r="O79" s="232"/>
      <c r="P79" s="232"/>
    </row>
    <row r="80" spans="1:17">
      <c r="C80" s="82" t="str">
        <f>+C55</f>
        <v>UNHONORED CHECKS</v>
      </c>
      <c r="G80" s="126"/>
      <c r="J80" s="8">
        <f>+G80+'JUL WKSHT'!J80</f>
        <v>0</v>
      </c>
      <c r="O80" s="232"/>
      <c r="P80" s="232"/>
      <c r="Q80" s="232"/>
    </row>
    <row r="81" spans="1:13">
      <c r="C81" s="82" t="str">
        <f>+C56</f>
        <v>RECEIPT ADJUSTMENTS</v>
      </c>
      <c r="G81" s="251">
        <v>-122855.38</v>
      </c>
      <c r="H81" s="8">
        <f>SUM(G75:G81)</f>
        <v>9695587.089999998</v>
      </c>
      <c r="J81" s="77">
        <f>+G81+'JUL WKSHT'!J81</f>
        <v>-122855.38</v>
      </c>
      <c r="K81" s="8">
        <f>SUM(J76:J81)</f>
        <v>9695587.089999998</v>
      </c>
    </row>
    <row r="83" spans="1:13">
      <c r="B83" s="88" t="str">
        <f>+B58</f>
        <v>INVESTMENT INCOME (R771)</v>
      </c>
      <c r="C83" s="8"/>
      <c r="H83" s="126">
        <v>161784.69</v>
      </c>
      <c r="K83" s="8">
        <f>+H83+'JUL WKSHT'!K83</f>
        <v>308887.67000000004</v>
      </c>
    </row>
    <row r="84" spans="1:13">
      <c r="L84" s="147" t="s">
        <v>50</v>
      </c>
    </row>
    <row r="85" spans="1:13">
      <c r="B85" s="88" t="str">
        <f>+B60</f>
        <v>OTHER REVENUE</v>
      </c>
      <c r="C85" s="8"/>
      <c r="H85" s="126"/>
      <c r="K85" s="8">
        <f>+H85+'JUL WKSHT'!K85</f>
        <v>0</v>
      </c>
      <c r="L85" s="194">
        <f>7754798.61+'JUL WKSHT'!L85</f>
        <v>4327575.6900000004</v>
      </c>
    </row>
    <row r="86" spans="1:13">
      <c r="L86" s="141" t="s">
        <v>54</v>
      </c>
    </row>
    <row r="87" spans="1:13">
      <c r="B87" s="88" t="str">
        <f>+'JUL WKSHT'!B87</f>
        <v>EXPENDITURES (FIREFIGHTERS SUMMARY)</v>
      </c>
      <c r="H87" s="152">
        <f>+K87-'JUL WKSHT'!K87</f>
        <v>2102573.1700000004</v>
      </c>
      <c r="K87" s="124">
        <v>5676899.0700000003</v>
      </c>
      <c r="L87" s="141">
        <f>+K69</f>
        <v>38612985.210000001</v>
      </c>
    </row>
    <row r="88" spans="1:13">
      <c r="L88" s="141" t="s">
        <v>53</v>
      </c>
      <c r="M88" s="177" t="s">
        <v>70</v>
      </c>
    </row>
    <row r="89" spans="1:13" ht="13.5" thickBot="1">
      <c r="B89" s="82" t="str">
        <f>+B66</f>
        <v>CASH BALANCE AUGUST 31, 2023</v>
      </c>
      <c r="H89" s="95">
        <f>+H71+H81+H83+H85-H87</f>
        <v>42940560.899999991</v>
      </c>
      <c r="K89" s="95">
        <f>+K69+K81+K83+K85-K87</f>
        <v>42940560.899999999</v>
      </c>
      <c r="L89" s="140">
        <f>+L85+L87</f>
        <v>42940560.899999999</v>
      </c>
      <c r="M89" s="8">
        <f>L89-K89</f>
        <v>0</v>
      </c>
    </row>
    <row r="90" spans="1:13" s="112" customFormat="1">
      <c r="A90" s="159"/>
      <c r="B90" s="159"/>
      <c r="C90" s="159"/>
      <c r="D90" s="159"/>
      <c r="E90" s="159"/>
      <c r="G90" s="252"/>
      <c r="L90" s="253"/>
    </row>
    <row r="91" spans="1:13" s="112" customFormat="1">
      <c r="A91" s="159"/>
      <c r="B91" s="159"/>
      <c r="C91" s="159"/>
      <c r="D91" s="159"/>
      <c r="E91" s="159"/>
    </row>
    <row r="92" spans="1:13" s="112" customFormat="1" ht="12.75" customHeight="1">
      <c r="A92" s="159"/>
      <c r="B92" s="159"/>
      <c r="C92" s="254"/>
      <c r="D92" s="254"/>
      <c r="E92" s="254"/>
      <c r="F92" s="254"/>
      <c r="G92" s="254"/>
      <c r="H92" s="254"/>
      <c r="I92" s="254"/>
      <c r="J92" s="254"/>
      <c r="K92" s="254"/>
      <c r="L92" s="254"/>
    </row>
    <row r="93" spans="1:13" s="112" customFormat="1">
      <c r="A93" s="159"/>
      <c r="B93" s="159"/>
      <c r="C93" s="254"/>
      <c r="D93" s="254"/>
      <c r="E93" s="254"/>
      <c r="F93" s="254"/>
      <c r="G93" s="254"/>
      <c r="H93" s="254"/>
      <c r="I93" s="254"/>
      <c r="J93" s="254"/>
      <c r="K93" s="254"/>
      <c r="L93" s="254"/>
    </row>
    <row r="94" spans="1:13" s="112" customFormat="1">
      <c r="A94" s="159"/>
      <c r="B94" s="159"/>
      <c r="C94" s="254"/>
      <c r="D94" s="254"/>
      <c r="E94" s="254"/>
      <c r="F94" s="254"/>
      <c r="G94" s="254"/>
      <c r="H94" s="254"/>
      <c r="I94" s="254"/>
      <c r="J94" s="254"/>
      <c r="K94" s="254"/>
      <c r="L94" s="254"/>
    </row>
    <row r="95" spans="1:13" s="112" customFormat="1">
      <c r="A95" s="159"/>
      <c r="B95" s="159"/>
      <c r="C95" s="254"/>
      <c r="D95" s="254"/>
      <c r="E95" s="254"/>
      <c r="F95" s="254"/>
      <c r="G95" s="254"/>
      <c r="H95" s="254"/>
      <c r="I95" s="254"/>
      <c r="J95" s="254"/>
      <c r="K95" s="254"/>
      <c r="L95" s="254"/>
    </row>
    <row r="96" spans="1:13" s="112" customFormat="1">
      <c r="A96" s="159"/>
      <c r="B96" s="159"/>
      <c r="C96" s="254"/>
      <c r="D96" s="254"/>
      <c r="E96" s="254"/>
      <c r="F96" s="254"/>
      <c r="G96" s="254"/>
      <c r="H96" s="254"/>
      <c r="I96" s="254"/>
      <c r="J96" s="254"/>
      <c r="K96" s="254"/>
      <c r="L96" s="254"/>
    </row>
    <row r="97" spans="1:12" s="112" customFormat="1" ht="18.75" customHeight="1">
      <c r="A97" s="159"/>
      <c r="B97" s="159"/>
      <c r="C97" s="254"/>
      <c r="D97" s="254"/>
      <c r="E97" s="254"/>
      <c r="F97" s="254"/>
      <c r="G97" s="254"/>
      <c r="H97" s="254"/>
      <c r="I97" s="254"/>
      <c r="J97" s="254"/>
      <c r="K97" s="254"/>
      <c r="L97" s="254"/>
    </row>
    <row r="98" spans="1:12" s="112" customFormat="1">
      <c r="A98" s="159"/>
      <c r="B98" s="159"/>
      <c r="C98" s="159"/>
      <c r="D98" s="159"/>
      <c r="E98" s="159"/>
    </row>
    <row r="99" spans="1:12" s="112" customFormat="1">
      <c r="A99" s="159"/>
      <c r="B99" s="159"/>
      <c r="C99" s="159"/>
      <c r="D99" s="159"/>
      <c r="E99" s="159"/>
    </row>
    <row r="100" spans="1:12" s="112" customFormat="1">
      <c r="A100" s="159"/>
      <c r="B100" s="159"/>
      <c r="C100" s="159"/>
      <c r="D100" s="159"/>
      <c r="E100" s="159"/>
    </row>
  </sheetData>
  <phoneticPr fontId="12" type="noConversion"/>
  <printOptions horizontalCentered="1" verticalCentered="1"/>
  <pageMargins left="0" right="0" top="0" bottom="0" header="0" footer="0"/>
  <pageSetup scale="66" orientation="portrait" horizontalDpi="300" verticalDpi="300" r:id="rId1"/>
  <headerFooter alignWithMargins="0">
    <oddHeader>&amp;R&amp;F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66"/>
  <sheetViews>
    <sheetView workbookViewId="0">
      <selection activeCell="H15" sqref="H15"/>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2" width="14.7109375" style="2" customWidth="1"/>
    <col min="13" max="13" width="15.42578125" style="2" customWidth="1"/>
    <col min="14" max="14" width="1.7109375" style="2" customWidth="1"/>
    <col min="15" max="15" width="12.85546875" style="2" customWidth="1"/>
    <col min="16" max="16384" width="9.140625" style="2"/>
  </cols>
  <sheetData>
    <row r="1" spans="1:15" ht="15">
      <c r="A1" s="58" t="str">
        <f>+'AUG WKSHT'!A1</f>
        <v>COMMONWEALTH OF KENTUCKY</v>
      </c>
      <c r="B1" s="3"/>
      <c r="C1" s="3"/>
      <c r="D1" s="3"/>
      <c r="E1" s="3"/>
      <c r="F1" s="3"/>
      <c r="G1" s="3"/>
      <c r="H1" s="3"/>
      <c r="I1" s="3"/>
      <c r="J1" s="3"/>
      <c r="K1" s="3"/>
      <c r="L1" s="3"/>
      <c r="M1" s="3"/>
      <c r="N1" s="3"/>
    </row>
    <row r="2" spans="1:15" ht="15">
      <c r="A2" s="59" t="str">
        <f>+'AUG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+'AUG WKSHT'!A4</f>
        <v>FOR THE PERIOD AUGUST 1, 2023- AUGUST 31, 2023</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15"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+'AUG WKSHT'!H11</f>
        <v>2189064.38</v>
      </c>
      <c r="I11" s="13"/>
      <c r="J11" s="34"/>
      <c r="K11" s="42"/>
      <c r="L11" s="13">
        <f>+'AUG WKSHT'!K11</f>
        <v>4438431.55</v>
      </c>
      <c r="M11" s="13"/>
      <c r="N11" s="34"/>
    </row>
    <row r="12" spans="1:15">
      <c r="A12" s="53"/>
      <c r="B12" s="31"/>
      <c r="C12" s="31" t="str">
        <f>+JUL!C12</f>
        <v>LAW ENFORCEMENT AND FIREFIGHTERS FUND</v>
      </c>
      <c r="D12" s="32"/>
      <c r="E12" s="33"/>
      <c r="F12" s="35"/>
      <c r="G12" s="42"/>
      <c r="H12" s="11">
        <f>+'AUG WKSHT'!H14</f>
        <v>12821020.459999999</v>
      </c>
      <c r="I12" s="13">
        <f>SUM(H11:H12)</f>
        <v>15010084.84</v>
      </c>
      <c r="J12" s="34"/>
      <c r="K12" s="42"/>
      <c r="L12" s="11">
        <f>+'AUG WKSHT'!K14</f>
        <v>24455137.660000004</v>
      </c>
      <c r="M12" s="13">
        <f>SUM(L11:L12)</f>
        <v>28893569.210000005</v>
      </c>
      <c r="N12" s="34"/>
    </row>
    <row r="13" spans="1:15">
      <c r="A13" s="53"/>
      <c r="B13" s="31" t="str">
        <f>+JUL!B13</f>
        <v>REVENUE REFUNDS</v>
      </c>
      <c r="C13" s="33"/>
      <c r="D13" s="31"/>
      <c r="E13" s="33"/>
      <c r="F13" s="35"/>
      <c r="G13" s="42"/>
      <c r="H13" s="16"/>
      <c r="I13" s="16">
        <f>+'AUG WKSHT'!H21</f>
        <v>-5576.5</v>
      </c>
      <c r="J13" s="35"/>
      <c r="K13" s="42"/>
      <c r="L13" s="16"/>
      <c r="M13" s="16">
        <f>+'AUG WKSHT'!K21</f>
        <v>-6119.2000000000007</v>
      </c>
      <c r="N13" s="35"/>
    </row>
    <row r="14" spans="1:15">
      <c r="A14" s="30"/>
      <c r="B14" s="31" t="str">
        <f>+JUL!B14</f>
        <v>UNHONORED CHECKS</v>
      </c>
      <c r="C14" s="33"/>
      <c r="D14" s="32"/>
      <c r="E14" s="33"/>
      <c r="F14" s="35"/>
      <c r="G14" s="42"/>
      <c r="H14" s="16"/>
      <c r="I14" s="16">
        <f>+'AUG WKSHT'!H25</f>
        <v>0</v>
      </c>
      <c r="J14" s="35"/>
      <c r="K14" s="42"/>
      <c r="L14" s="16"/>
      <c r="M14" s="16">
        <f>+'AUG WKSHT'!K25</f>
        <v>0</v>
      </c>
      <c r="N14" s="35"/>
    </row>
    <row r="15" spans="1:15">
      <c r="A15" s="30"/>
      <c r="B15" s="31" t="str">
        <f>+JUL!B15</f>
        <v>RECEIPT ADJUSTMENTS</v>
      </c>
      <c r="C15" s="33"/>
      <c r="D15" s="32"/>
      <c r="E15" s="33"/>
      <c r="F15" s="35"/>
      <c r="G15" s="42"/>
      <c r="H15" s="16"/>
      <c r="I15" s="36">
        <f>+'AUG WKSHT'!H29</f>
        <v>36880.549999999988</v>
      </c>
      <c r="J15" s="37"/>
      <c r="K15" s="42"/>
      <c r="L15" s="16"/>
      <c r="M15" s="36">
        <f>+'AUG WKSHT'!K29</f>
        <v>36855.149999999994</v>
      </c>
      <c r="N15" s="37"/>
    </row>
    <row r="16" spans="1:15" ht="13.5" thickBot="1">
      <c r="A16" s="50"/>
      <c r="B16" s="33"/>
      <c r="C16" s="31" t="str">
        <f>+JUL!C16</f>
        <v>NET RECEIPTS TO BE DISTRIBUTED</v>
      </c>
      <c r="D16" s="33"/>
      <c r="E16" s="33"/>
      <c r="F16" s="35"/>
      <c r="G16" s="42"/>
      <c r="H16" s="16"/>
      <c r="I16" s="22">
        <f>SUM(I10:I15)</f>
        <v>15041388.890000001</v>
      </c>
      <c r="J16" s="56"/>
      <c r="K16" s="42"/>
      <c r="L16" s="16"/>
      <c r="M16" s="22">
        <f>SUM(M10:M15)</f>
        <v>28924305.160000004</v>
      </c>
      <c r="N16" s="56"/>
      <c r="O16" s="2">
        <f>+I16-'AUG WKSHT'!H30</f>
        <v>0</v>
      </c>
    </row>
    <row r="17" spans="1:15" ht="13.5" thickBot="1">
      <c r="A17" s="38"/>
      <c r="B17" s="39"/>
      <c r="C17" s="39"/>
      <c r="D17" s="39"/>
      <c r="E17" s="39"/>
      <c r="F17" s="40"/>
      <c r="G17" s="43"/>
      <c r="H17" s="14"/>
      <c r="I17" s="14"/>
      <c r="J17" s="40"/>
      <c r="K17" s="43"/>
      <c r="L17" s="14"/>
      <c r="M17" s="14"/>
      <c r="N17" s="40"/>
      <c r="O17" s="2">
        <f>+M16-'AUG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+'AUG WKSHT'!K46</f>
        <v>73871638.640000001</v>
      </c>
      <c r="N22" s="35"/>
    </row>
    <row r="23" spans="1:15">
      <c r="A23" s="49"/>
      <c r="B23" s="44"/>
      <c r="C23" s="32"/>
      <c r="D23" s="32"/>
      <c r="E23" s="32"/>
      <c r="F23" s="35"/>
      <c r="G23" s="42"/>
      <c r="H23" s="16"/>
      <c r="I23" s="16"/>
      <c r="J23" s="35"/>
      <c r="K23" s="42"/>
      <c r="L23" s="16"/>
      <c r="M23" s="16"/>
      <c r="N23" s="35"/>
    </row>
    <row r="24" spans="1:15">
      <c r="A24" s="53"/>
      <c r="B24" s="31" t="str">
        <f>+'AUG WKSHT'!B48</f>
        <v>CASH BALANCE at the end of Accounting Period 1</v>
      </c>
      <c r="C24" s="33"/>
      <c r="D24" s="32"/>
      <c r="E24" s="32"/>
      <c r="F24" s="35"/>
      <c r="G24" s="42"/>
      <c r="H24" s="16"/>
      <c r="I24" s="20">
        <f>+'AUG WKSHT'!H48</f>
        <v>68065440.409999996</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t="s">
        <v>42</v>
      </c>
      <c r="H27" s="20">
        <f>+'AUG WKSHT'!G51</f>
        <v>19075007.350000001</v>
      </c>
      <c r="I27" s="33"/>
      <c r="J27" s="57"/>
      <c r="K27" s="42" t="s">
        <v>42</v>
      </c>
      <c r="L27" s="20">
        <f>+'AUG WKSHT'!J51</f>
        <v>19075007.350000001</v>
      </c>
      <c r="M27" s="33"/>
      <c r="N27" s="57"/>
    </row>
    <row r="28" spans="1:15">
      <c r="A28" s="30"/>
      <c r="B28" s="32"/>
      <c r="C28" s="31" t="str">
        <f>+JUL!C28</f>
        <v>REVENUE REFUNDS:  PRIOR YEAR</v>
      </c>
      <c r="D28" s="32"/>
      <c r="E28" s="32"/>
      <c r="F28" s="35"/>
      <c r="G28" s="42"/>
      <c r="H28" s="16">
        <f>+'AUG WKSHT'!G52</f>
        <v>0</v>
      </c>
      <c r="I28" s="33"/>
      <c r="J28" s="57"/>
      <c r="K28" s="42"/>
      <c r="L28" s="16">
        <f>+'AUG WKSHT'!J52</f>
        <v>0</v>
      </c>
      <c r="M28" s="33"/>
      <c r="N28" s="57"/>
    </row>
    <row r="29" spans="1:15">
      <c r="A29" s="30"/>
      <c r="B29" s="32"/>
      <c r="C29" s="31" t="str">
        <f>+JUL!C29</f>
        <v>REVENUE REFUNDS:  CURRENT YEAR</v>
      </c>
      <c r="D29" s="32"/>
      <c r="E29" s="32"/>
      <c r="F29" s="35"/>
      <c r="G29" s="42"/>
      <c r="H29" s="16">
        <f>+'AUG WKSHT'!G53</f>
        <v>-423.31</v>
      </c>
      <c r="I29" s="33"/>
      <c r="J29" s="57"/>
      <c r="K29" s="42"/>
      <c r="L29" s="16">
        <f>+'AUG WKSHT'!J53</f>
        <v>-423.31</v>
      </c>
      <c r="M29" s="33"/>
      <c r="N29" s="57"/>
    </row>
    <row r="30" spans="1:15">
      <c r="A30" s="30"/>
      <c r="B30" s="32"/>
      <c r="C30" s="31" t="str">
        <f>+JUL!C30</f>
        <v>REFUND OF PRIOR YEAR DISBURSEMENTS</v>
      </c>
      <c r="D30" s="32"/>
      <c r="E30" s="32"/>
      <c r="F30" s="35"/>
      <c r="G30" s="42"/>
      <c r="H30" s="16">
        <f>+'AUG WKSHT'!G54</f>
        <v>0</v>
      </c>
      <c r="I30" s="33"/>
      <c r="J30" s="57"/>
      <c r="K30" s="42"/>
      <c r="L30" s="16">
        <f>+'AUG WKSHT'!J54</f>
        <v>0</v>
      </c>
      <c r="M30" s="33"/>
      <c r="N30" s="57"/>
    </row>
    <row r="31" spans="1:15">
      <c r="A31" s="30"/>
      <c r="B31" s="32"/>
      <c r="C31" s="31" t="str">
        <f>+JUL!C31</f>
        <v>UNHONORED CHECKS</v>
      </c>
      <c r="D31" s="32"/>
      <c r="E31" s="32"/>
      <c r="F31" s="35"/>
      <c r="G31" s="42"/>
      <c r="H31" s="16">
        <f>+'AUG WKSHT'!G55</f>
        <v>0</v>
      </c>
      <c r="I31" s="33"/>
      <c r="J31" s="57"/>
      <c r="K31" s="42"/>
      <c r="L31" s="16">
        <f>+'AUG WKSHT'!J55</f>
        <v>0</v>
      </c>
      <c r="M31" s="33"/>
      <c r="N31" s="57"/>
    </row>
    <row r="32" spans="1:15">
      <c r="A32" s="30"/>
      <c r="B32" s="32"/>
      <c r="C32" s="31" t="str">
        <f>+JUL!C32</f>
        <v>RECEIPT ADJUSTMENTS</v>
      </c>
      <c r="D32" s="32"/>
      <c r="E32" s="32"/>
      <c r="F32" s="35"/>
      <c r="G32" s="42"/>
      <c r="H32" s="11">
        <f>+'AUG WKSHT'!G56</f>
        <v>159710.53</v>
      </c>
      <c r="I32" s="16">
        <f>SUM(H27:H32)</f>
        <v>19234294.570000004</v>
      </c>
      <c r="J32" s="35"/>
      <c r="K32" s="42"/>
      <c r="L32" s="11">
        <f>+'AUG WKSHT'!J56</f>
        <v>159710.53</v>
      </c>
      <c r="M32" s="16">
        <f>SUM(L27:L32)</f>
        <v>19234294.570000004</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+'AUG WKSHT'!H58</f>
        <v>317923.74</v>
      </c>
      <c r="J34" s="35"/>
      <c r="K34" s="42"/>
      <c r="L34" s="16"/>
      <c r="M34" s="16">
        <f>+'AUG WKSHT'!K58</f>
        <v>600922.08000000007</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+'AUG WKSHT'!H60</f>
        <v>0</v>
      </c>
      <c r="J36" s="35"/>
      <c r="K36" s="42"/>
      <c r="L36" s="16"/>
      <c r="M36" s="16">
        <f>+'AUG WKSHT'!K60</f>
        <v>0</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+'AUG WKSHT'!H64</f>
        <v>9431721.8100000005</v>
      </c>
      <c r="J38" s="35"/>
      <c r="K38" s="42"/>
      <c r="L38" s="16"/>
      <c r="M38" s="11">
        <f>+'AUG WKSHT'!K64</f>
        <v>15520918.380000001</v>
      </c>
      <c r="N38" s="35"/>
    </row>
    <row r="39" spans="1:15">
      <c r="A39" s="30"/>
      <c r="B39" s="32"/>
      <c r="C39" s="32"/>
      <c r="D39" s="32"/>
      <c r="E39" s="32"/>
      <c r="F39" s="35"/>
      <c r="G39" s="42"/>
      <c r="H39" s="16"/>
      <c r="I39" s="16"/>
      <c r="J39" s="35"/>
      <c r="K39" s="42"/>
      <c r="L39" s="16"/>
      <c r="M39" s="16"/>
      <c r="N39" s="35"/>
    </row>
    <row r="40" spans="1:15" ht="13.5" thickBot="1">
      <c r="A40" s="53"/>
      <c r="B40" s="31" t="str">
        <f>+'AUG WKSHT'!B66</f>
        <v>CASH BALANCE AUGUST 31, 2023</v>
      </c>
      <c r="C40" s="32"/>
      <c r="D40" s="32"/>
      <c r="E40" s="32"/>
      <c r="F40" s="35"/>
      <c r="G40" s="42"/>
      <c r="H40" s="16"/>
      <c r="I40" s="21">
        <f>+I24+I32+I34+I36-I38</f>
        <v>78185936.909999996</v>
      </c>
      <c r="J40" s="56"/>
      <c r="K40" s="42"/>
      <c r="L40" s="16"/>
      <c r="M40" s="21">
        <f>+M22+M32+M34+M36-M38</f>
        <v>78185936.910000011</v>
      </c>
      <c r="N40" s="56"/>
      <c r="O40" s="2">
        <f>+I40-'AUG WKSHT'!H66</f>
        <v>0</v>
      </c>
    </row>
    <row r="41" spans="1:15" ht="13.5" thickBot="1">
      <c r="A41" s="38"/>
      <c r="B41" s="39"/>
      <c r="C41" s="39"/>
      <c r="D41" s="39"/>
      <c r="E41" s="39"/>
      <c r="F41" s="40"/>
      <c r="G41" s="43"/>
      <c r="H41" s="14"/>
      <c r="I41" s="14"/>
      <c r="J41" s="40"/>
      <c r="K41" s="43"/>
      <c r="L41" s="14"/>
      <c r="M41" s="14"/>
      <c r="N41" s="40"/>
      <c r="O41" s="2">
        <f>+M40-'AUG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+'AUG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at the end of Accounting Period 1</v>
      </c>
      <c r="C48" s="32"/>
      <c r="D48" s="32"/>
      <c r="E48" s="32"/>
      <c r="F48" s="61"/>
      <c r="G48" s="42"/>
      <c r="H48" s="16"/>
      <c r="I48" s="20">
        <f>+'AUG WKSHT'!H71</f>
        <v>35185762.289999999</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t="s">
        <v>42</v>
      </c>
      <c r="H51" s="20">
        <f>+'AUG WKSHT'!G76</f>
        <v>9818561.8599999994</v>
      </c>
      <c r="I51" s="33"/>
      <c r="J51" s="57"/>
      <c r="K51" s="42" t="s">
        <v>42</v>
      </c>
      <c r="L51" s="20">
        <f>+'AUG WKSHT'!J76</f>
        <v>9818561.8599999994</v>
      </c>
      <c r="M51" s="33"/>
      <c r="N51" s="57"/>
    </row>
    <row r="52" spans="1:15">
      <c r="A52" s="30"/>
      <c r="B52" s="31"/>
      <c r="C52" s="31" t="str">
        <f>+JUL!C52</f>
        <v>REVENUE REFUNDS:  PRIOR YEAR</v>
      </c>
      <c r="D52" s="32"/>
      <c r="E52" s="32"/>
      <c r="F52" s="61"/>
      <c r="G52" s="42"/>
      <c r="H52" s="16">
        <f>+'AUG WKSHT'!G77</f>
        <v>0</v>
      </c>
      <c r="I52" s="33"/>
      <c r="J52" s="57"/>
      <c r="K52" s="42"/>
      <c r="L52" s="16">
        <f>+'AUG WKSHT'!J77</f>
        <v>0</v>
      </c>
      <c r="M52" s="33"/>
      <c r="N52" s="57"/>
    </row>
    <row r="53" spans="1:15">
      <c r="A53" s="30"/>
      <c r="B53" s="32"/>
      <c r="C53" s="31" t="str">
        <f>+JUL!C53</f>
        <v>REVENUE REFUNDS:  CURRENT YEAR</v>
      </c>
      <c r="D53" s="32"/>
      <c r="E53" s="32"/>
      <c r="F53" s="61"/>
      <c r="G53" s="42"/>
      <c r="H53" s="16">
        <f>+'AUG WKSHT'!G78</f>
        <v>-119.39</v>
      </c>
      <c r="I53" s="33"/>
      <c r="J53" s="57"/>
      <c r="K53" s="42"/>
      <c r="L53" s="16">
        <f>+'AUG WKSHT'!J78</f>
        <v>-119.39</v>
      </c>
      <c r="M53" s="33"/>
      <c r="N53" s="57"/>
    </row>
    <row r="54" spans="1:15">
      <c r="A54" s="30"/>
      <c r="B54" s="31"/>
      <c r="C54" s="31" t="str">
        <f>+JUL!C54</f>
        <v>REFUND OF PRIOR YEAR DISBURSEMENTS</v>
      </c>
      <c r="D54" s="32"/>
      <c r="E54" s="32"/>
      <c r="F54" s="61"/>
      <c r="G54" s="42"/>
      <c r="H54" s="16">
        <f>+'AUG WKSHT'!G79</f>
        <v>0</v>
      </c>
      <c r="I54" s="33"/>
      <c r="J54" s="57"/>
      <c r="K54" s="42"/>
      <c r="L54" s="16">
        <f>+'AUG WKSHT'!J79</f>
        <v>0</v>
      </c>
      <c r="M54" s="33"/>
      <c r="N54" s="57"/>
    </row>
    <row r="55" spans="1:15">
      <c r="A55" s="30"/>
      <c r="B55" s="32"/>
      <c r="C55" s="31" t="str">
        <f>+JUL!C55</f>
        <v>UNHONORED CHECKS</v>
      </c>
      <c r="D55" s="32"/>
      <c r="E55" s="32"/>
      <c r="F55" s="61"/>
      <c r="G55" s="42"/>
      <c r="H55" s="16">
        <f>+'AUG WKSHT'!G80</f>
        <v>0</v>
      </c>
      <c r="I55" s="33"/>
      <c r="J55" s="57"/>
      <c r="K55" s="42"/>
      <c r="L55" s="16">
        <f>+'AUG WKSHT'!J80</f>
        <v>0</v>
      </c>
      <c r="M55" s="33"/>
      <c r="N55" s="57"/>
    </row>
    <row r="56" spans="1:15">
      <c r="A56" s="30"/>
      <c r="B56" s="32"/>
      <c r="C56" s="31" t="str">
        <f>+JUL!C56</f>
        <v>RECEIPT ADJUSTMENTS</v>
      </c>
      <c r="D56" s="32"/>
      <c r="E56" s="32"/>
      <c r="F56" s="61"/>
      <c r="G56" s="42"/>
      <c r="H56" s="11">
        <f>+'AUG WKSHT'!G81</f>
        <v>-122855.38</v>
      </c>
      <c r="I56" s="16">
        <f>SUM(H51:H56)</f>
        <v>9695587.089999998</v>
      </c>
      <c r="J56" s="35"/>
      <c r="K56" s="42"/>
      <c r="L56" s="11">
        <f>+'AUG WKSHT'!J81</f>
        <v>-122855.38</v>
      </c>
      <c r="M56" s="16">
        <f>SUM(L51:L56)</f>
        <v>9695587.089999998</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+'AUG WKSHT'!H83</f>
        <v>161784.69</v>
      </c>
      <c r="J58" s="35"/>
      <c r="K58" s="42"/>
      <c r="L58" s="16"/>
      <c r="M58" s="16">
        <f>+'AUG WKSHT'!K83</f>
        <v>308887.67000000004</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+'AUG WKSHT'!H85</f>
        <v>0</v>
      </c>
      <c r="J60" s="35"/>
      <c r="K60" s="42"/>
      <c r="L60" s="16"/>
      <c r="M60" s="16">
        <f>+'AUG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+'AUG WKSHT'!H87</f>
        <v>2102573.1700000004</v>
      </c>
      <c r="J62" s="35"/>
      <c r="K62" s="42"/>
      <c r="L62" s="16"/>
      <c r="M62" s="11">
        <f>+'AUG WKSHT'!K87</f>
        <v>5676899.0700000003</v>
      </c>
      <c r="N62" s="35"/>
    </row>
    <row r="63" spans="1:15">
      <c r="A63" s="30"/>
      <c r="B63" s="32"/>
      <c r="C63" s="32"/>
      <c r="D63" s="32"/>
      <c r="E63" s="32"/>
      <c r="F63" s="61"/>
      <c r="G63" s="42"/>
      <c r="H63" s="16"/>
      <c r="I63" s="16"/>
      <c r="J63" s="35"/>
      <c r="K63" s="42"/>
      <c r="L63" s="16"/>
      <c r="M63" s="16"/>
      <c r="N63" s="35"/>
      <c r="O63" s="2">
        <f>+I64-'AUG WKSHT'!H89</f>
        <v>0</v>
      </c>
    </row>
    <row r="64" spans="1:15" ht="13.5" thickBot="1">
      <c r="A64" s="30">
        <f>+A38</f>
        <v>0</v>
      </c>
      <c r="B64" s="31" t="str">
        <f>+B40</f>
        <v>CASH BALANCE AUGUST 31, 2023</v>
      </c>
      <c r="C64" s="32"/>
      <c r="D64" s="32"/>
      <c r="E64" s="32"/>
      <c r="F64" s="61"/>
      <c r="G64" s="42"/>
      <c r="H64" s="16"/>
      <c r="I64" s="21">
        <f>+I48+I56+I58+I60-I62</f>
        <v>42940560.899999991</v>
      </c>
      <c r="J64" s="56"/>
      <c r="K64" s="42"/>
      <c r="L64" s="16"/>
      <c r="M64" s="21">
        <f>+M46+M56+M58+M60-M62</f>
        <v>42940560.899999999</v>
      </c>
      <c r="N64" s="56"/>
      <c r="O64" s="2">
        <f>+M64-'AUG WKSHT'!K89</f>
        <v>0</v>
      </c>
    </row>
    <row r="65" spans="1:14" ht="13.5" thickBot="1">
      <c r="A65" s="38"/>
      <c r="B65" s="39"/>
      <c r="C65" s="39"/>
      <c r="D65" s="39"/>
      <c r="E65" s="39"/>
      <c r="F65" s="40"/>
      <c r="G65" s="43"/>
      <c r="H65" s="14"/>
      <c r="I65" s="14"/>
      <c r="J65" s="40"/>
      <c r="K65" s="43"/>
      <c r="L65" s="14"/>
      <c r="M65" s="14"/>
      <c r="N65" s="40"/>
    </row>
    <row r="66" spans="1:14">
      <c r="I66" s="18"/>
      <c r="J66" s="18"/>
      <c r="K66" s="18"/>
    </row>
  </sheetData>
  <phoneticPr fontId="12" type="noConversion"/>
  <printOptions horizontalCentered="1" verticalCentered="1"/>
  <pageMargins left="0" right="0" top="0.5" bottom="0.5" header="0" footer="0"/>
  <pageSetup scale="8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92"/>
  <sheetViews>
    <sheetView topLeftCell="A13" zoomScale="90" zoomScaleNormal="90" workbookViewId="0">
      <selection activeCell="K46" sqref="K46"/>
    </sheetView>
  </sheetViews>
  <sheetFormatPr defaultColWidth="9.140625" defaultRowHeight="12.75"/>
  <cols>
    <col min="1" max="1" width="3.7109375" style="177" customWidth="1"/>
    <col min="2" max="2" width="8" style="177" customWidth="1"/>
    <col min="3" max="4" width="3.7109375" style="177" customWidth="1"/>
    <col min="5" max="5" width="29.7109375" style="177" customWidth="1"/>
    <col min="6" max="6" width="14.7109375" style="177" customWidth="1"/>
    <col min="7" max="7" width="21.85546875" style="177" customWidth="1"/>
    <col min="8" max="8" width="14.7109375" style="177" customWidth="1"/>
    <col min="9" max="9" width="1.7109375" style="177" customWidth="1"/>
    <col min="10" max="10" width="14.5703125" style="177" customWidth="1"/>
    <col min="11" max="11" width="16.28515625" style="177" bestFit="1" customWidth="1"/>
    <col min="12" max="12" width="20.85546875" style="177" bestFit="1" customWidth="1"/>
    <col min="13" max="13" width="16.28515625" style="177" customWidth="1"/>
    <col min="14" max="14" width="23.7109375" style="177" bestFit="1" customWidth="1"/>
    <col min="15" max="15" width="16.140625" style="177" customWidth="1"/>
    <col min="16" max="16" width="16.7109375" style="177" customWidth="1"/>
    <col min="17" max="17" width="9.140625" style="177"/>
    <col min="18" max="18" width="17.85546875" style="177" customWidth="1"/>
    <col min="19" max="16384" width="9.140625" style="177"/>
  </cols>
  <sheetData>
    <row r="1" spans="1:12" ht="15.75">
      <c r="A1" s="225" t="s">
        <v>0</v>
      </c>
      <c r="B1" s="203"/>
      <c r="C1" s="203"/>
      <c r="D1" s="203"/>
      <c r="E1" s="203"/>
      <c r="F1" s="203"/>
      <c r="G1" s="203"/>
      <c r="H1" s="203"/>
      <c r="I1" s="203"/>
      <c r="J1" s="203"/>
      <c r="K1" s="203"/>
    </row>
    <row r="2" spans="1:12" ht="15.75">
      <c r="A2" s="226" t="s">
        <v>1</v>
      </c>
      <c r="B2" s="203"/>
      <c r="C2" s="203"/>
      <c r="D2" s="203"/>
      <c r="E2" s="203"/>
      <c r="F2" s="203"/>
      <c r="G2" s="203"/>
      <c r="H2" s="203"/>
      <c r="I2" s="203"/>
      <c r="J2" s="203"/>
      <c r="K2" s="203"/>
    </row>
    <row r="3" spans="1:12" ht="15.75">
      <c r="A3" s="225" t="s">
        <v>2</v>
      </c>
      <c r="B3" s="203"/>
      <c r="C3" s="203"/>
      <c r="D3" s="203"/>
      <c r="E3" s="203"/>
      <c r="F3" s="203"/>
      <c r="G3" s="203"/>
      <c r="H3" s="203"/>
      <c r="I3" s="203"/>
      <c r="J3" s="203"/>
      <c r="K3" s="203"/>
    </row>
    <row r="4" spans="1:12" ht="15.75">
      <c r="A4" s="272" t="s">
        <v>90</v>
      </c>
      <c r="B4" s="273"/>
      <c r="C4" s="273"/>
      <c r="D4" s="273"/>
      <c r="E4" s="273"/>
      <c r="F4" s="273"/>
      <c r="G4" s="273"/>
      <c r="H4" s="203"/>
      <c r="I4" s="203"/>
      <c r="J4" s="203"/>
      <c r="K4" s="203"/>
    </row>
    <row r="5" spans="1:12" ht="4.9000000000000004" customHeight="1" thickBot="1">
      <c r="A5" s="208"/>
      <c r="B5" s="208"/>
      <c r="C5" s="208"/>
      <c r="D5" s="208"/>
      <c r="E5" s="208"/>
      <c r="F5" s="208"/>
      <c r="G5" s="208"/>
      <c r="H5" s="208"/>
      <c r="I5" s="208"/>
      <c r="J5" s="208"/>
      <c r="K5" s="208"/>
    </row>
    <row r="7" spans="1:12">
      <c r="B7" s="209"/>
      <c r="C7" s="209"/>
      <c r="D7" s="209"/>
      <c r="G7" s="84" t="s">
        <v>3</v>
      </c>
      <c r="H7" s="84"/>
      <c r="I7" s="85"/>
      <c r="J7" s="84" t="s">
        <v>4</v>
      </c>
      <c r="K7" s="210"/>
      <c r="L7" s="87" t="s">
        <v>5</v>
      </c>
    </row>
    <row r="8" spans="1:12">
      <c r="A8" s="176" t="str">
        <f>+'AUG WKSHT'!A8</f>
        <v>DEPARTMENT OF REVENUE SURTAX RECEIPTS COLLECTED (14E6-130-D130-R000-R284, R285, R286)</v>
      </c>
    </row>
    <row r="9" spans="1:12">
      <c r="B9" s="178" t="str">
        <f>+'AUG WKSHT'!B9</f>
        <v>GROSS RECEIPTS (REVENUE DISTRIBUTION)</v>
      </c>
      <c r="C9" s="178"/>
    </row>
    <row r="10" spans="1:12">
      <c r="B10" s="178"/>
      <c r="C10" s="178" t="str">
        <f>+'AUG WKSHT'!C10</f>
        <v>VOLUNTEER FIRE DEPARTMENT AID</v>
      </c>
    </row>
    <row r="11" spans="1:12">
      <c r="D11" s="178" t="str">
        <f>+'AUG WKSHT'!D11</f>
        <v>R284 Volunteer Fire Dept Aid Fund</v>
      </c>
      <c r="G11" s="177" t="s">
        <v>56</v>
      </c>
      <c r="H11" s="132">
        <v>2256693.69</v>
      </c>
      <c r="K11" s="72">
        <f>+H11+'AUG WKSHT'!K11</f>
        <v>6695125.2400000002</v>
      </c>
    </row>
    <row r="12" spans="1:12">
      <c r="C12" s="178" t="str">
        <f>+'AUG WKSHT'!C12</f>
        <v>LAW ENFORCEMENT AND FIREFIGHTERS FUND</v>
      </c>
      <c r="G12" s="72"/>
      <c r="J12" s="72"/>
    </row>
    <row r="13" spans="1:12">
      <c r="D13" s="178" t="str">
        <f>+'AUG WKSHT'!D13</f>
        <v>R285 Law Enforcement Fund</v>
      </c>
      <c r="F13" s="72"/>
      <c r="G13" s="132">
        <v>9236299.8599999994</v>
      </c>
      <c r="J13" s="72">
        <f>+G13+'AUG WKSHT'!J13</f>
        <v>28311307.210000001</v>
      </c>
    </row>
    <row r="14" spans="1:12">
      <c r="D14" s="178" t="str">
        <f>+'AUG WKSHT'!D14</f>
        <v>R286 Firefighters Fund</v>
      </c>
      <c r="G14" s="182">
        <v>2605110.2200000002</v>
      </c>
      <c r="H14" s="183">
        <f>SUM(G13:G14)</f>
        <v>11841410.08</v>
      </c>
      <c r="I14" s="72"/>
      <c r="J14" s="183">
        <f>+G14+'AUG WKSHT'!J14</f>
        <v>7985240.5300000012</v>
      </c>
      <c r="K14" s="183">
        <f>SUM(J13:J14)</f>
        <v>36296547.740000002</v>
      </c>
    </row>
    <row r="15" spans="1:12">
      <c r="G15" s="184"/>
      <c r="H15" s="72">
        <f>SUM(H11:H14)</f>
        <v>14098103.77</v>
      </c>
      <c r="I15" s="72"/>
      <c r="J15" s="185"/>
      <c r="K15" s="72">
        <f>SUM(K11:K14)</f>
        <v>42991672.980000004</v>
      </c>
      <c r="L15" s="177">
        <f>+J51+J76-'SEP WKSHT'!K15</f>
        <v>0</v>
      </c>
    </row>
    <row r="16" spans="1:12">
      <c r="G16" s="184"/>
      <c r="H16" s="72"/>
      <c r="I16" s="72"/>
      <c r="J16" s="185"/>
      <c r="K16" s="72"/>
      <c r="L16" s="192"/>
    </row>
    <row r="17" spans="2:12">
      <c r="B17" s="178" t="str">
        <f>+'AUG WKSHT'!B17</f>
        <v>OTHER DISTRIBUTIONS (review JVs other than Revenue Distribution)</v>
      </c>
      <c r="G17" s="186"/>
      <c r="H17" s="72"/>
      <c r="I17" s="72"/>
      <c r="K17" s="72"/>
      <c r="L17" s="192"/>
    </row>
    <row r="18" spans="2:12">
      <c r="C18" s="178" t="str">
        <f>+'AUG WKSHT'!C18</f>
        <v>REVENUE REFUNDS</v>
      </c>
      <c r="D18" s="178"/>
    </row>
    <row r="19" spans="2:12">
      <c r="C19" s="178"/>
      <c r="D19" s="178" t="str">
        <f>+'AUG WKSHT'!D19</f>
        <v>R284</v>
      </c>
      <c r="G19" s="132"/>
      <c r="H19" s="172"/>
      <c r="J19" s="72">
        <f>+G19+'AUG WKSHT'!J19</f>
        <v>0</v>
      </c>
    </row>
    <row r="20" spans="2:12">
      <c r="C20" s="178"/>
      <c r="D20" s="178" t="str">
        <f>+'AUG WKSHT'!D20</f>
        <v>R285</v>
      </c>
      <c r="F20" s="172"/>
      <c r="G20" s="187">
        <v>-266.72000000000003</v>
      </c>
      <c r="H20" s="172"/>
      <c r="J20" s="177">
        <f>+G20+'AUG WKSHT'!J20</f>
        <v>-5039.7000000000007</v>
      </c>
    </row>
    <row r="21" spans="2:12">
      <c r="C21" s="178"/>
      <c r="D21" s="178" t="str">
        <f>+'AUG WKSHT'!D21</f>
        <v>R286</v>
      </c>
      <c r="G21" s="182">
        <v>-75.23</v>
      </c>
      <c r="H21" s="172">
        <f>SUM(G19:G21)</f>
        <v>-341.95000000000005</v>
      </c>
      <c r="J21" s="183">
        <f>+G21+'AUG WKSHT'!J21</f>
        <v>-1421.45</v>
      </c>
      <c r="K21" s="177">
        <f>SUM(J19:J21)</f>
        <v>-6461.1500000000005</v>
      </c>
      <c r="L21" s="172">
        <f>+J52+J53+J77+J78-K21</f>
        <v>341.94999999999982</v>
      </c>
    </row>
    <row r="22" spans="2:12">
      <c r="C22" s="178" t="str">
        <f>+'AUG WKSHT'!C22</f>
        <v>UNHONORED CHECKS</v>
      </c>
    </row>
    <row r="23" spans="2:12">
      <c r="D23" s="178" t="str">
        <f>+'AUG WKSHT'!D23</f>
        <v>R284</v>
      </c>
      <c r="G23" s="132"/>
      <c r="J23" s="72">
        <f>+G23+'AUG WKSHT'!J23</f>
        <v>0</v>
      </c>
    </row>
    <row r="24" spans="2:12">
      <c r="D24" s="178" t="str">
        <f>+'AUG WKSHT'!D24</f>
        <v>R285</v>
      </c>
      <c r="G24" s="187"/>
      <c r="J24" s="177">
        <f>+G24+'AUG WKSHT'!J24</f>
        <v>0</v>
      </c>
    </row>
    <row r="25" spans="2:12">
      <c r="D25" s="178" t="str">
        <f>+'AUG WKSHT'!D25</f>
        <v>R286</v>
      </c>
      <c r="G25" s="182"/>
      <c r="H25" s="177">
        <f>SUM(G23:G25)</f>
        <v>0</v>
      </c>
      <c r="J25" s="183">
        <f>+G25+'AUG WKSHT'!J25</f>
        <v>0</v>
      </c>
      <c r="K25" s="177">
        <f>SUM(J23:J25)</f>
        <v>0</v>
      </c>
      <c r="L25" s="177">
        <f>+J55+J80-K25</f>
        <v>0</v>
      </c>
    </row>
    <row r="26" spans="2:12">
      <c r="C26" s="178" t="str">
        <f>+'AUG WKSHT'!C26</f>
        <v>RECEIPT ADJUSTMENTS</v>
      </c>
    </row>
    <row r="27" spans="2:12">
      <c r="D27" s="178" t="str">
        <f>+'AUG WKSHT'!D27</f>
        <v>R284</v>
      </c>
      <c r="G27" s="132">
        <v>-271032.92</v>
      </c>
      <c r="J27" s="72">
        <f>+G27+'AUG WKSHT'!J27</f>
        <v>-438934.86</v>
      </c>
    </row>
    <row r="28" spans="2:12">
      <c r="D28" s="178" t="str">
        <f>+'AUG WKSHT'!D28</f>
        <v>R285</v>
      </c>
      <c r="G28" s="132">
        <v>216176.71</v>
      </c>
      <c r="J28" s="177">
        <f>+G28+'AUG WKSHT'!J28</f>
        <v>375887.24</v>
      </c>
    </row>
    <row r="29" spans="2:12">
      <c r="D29" s="178" t="str">
        <f>+'AUG WKSHT'!D29</f>
        <v>R286</v>
      </c>
      <c r="G29" s="132">
        <v>60972.91</v>
      </c>
      <c r="H29" s="183">
        <f>SUM(G27:G29)</f>
        <v>6116.7000000000116</v>
      </c>
      <c r="J29" s="183">
        <f>+G29+'AUG WKSHT'!J29</f>
        <v>106019.47</v>
      </c>
      <c r="K29" s="183">
        <f>SUM(J27:J29)</f>
        <v>42971.850000000006</v>
      </c>
      <c r="L29" s="172">
        <f>+J56+J81-K29</f>
        <v>0</v>
      </c>
    </row>
    <row r="30" spans="2:12" ht="13.5" thickBot="1">
      <c r="D30" s="178" t="str">
        <f>+'AUG WKSHT'!D30</f>
        <v>NET RECEIPTS TO BE DISTRIBUTED</v>
      </c>
      <c r="H30" s="189">
        <f>SUM(H15:H29)</f>
        <v>14103878.52</v>
      </c>
      <c r="I30" s="184"/>
      <c r="K30" s="189">
        <f>SUM(K15:K29)</f>
        <v>43028183.680000007</v>
      </c>
    </row>
    <row r="32" spans="2:12">
      <c r="B32" s="178" t="str">
        <f>+'AUG WKSHT'!B32</f>
        <v>TOTAL</v>
      </c>
    </row>
    <row r="33" spans="1:14">
      <c r="C33" s="178" t="str">
        <f>+'AUG WKSHT'!C33</f>
        <v>R284</v>
      </c>
      <c r="G33" s="72">
        <f>+G27+G23+G19+H11</f>
        <v>1985660.77</v>
      </c>
      <c r="J33" s="72">
        <f>+J27+J23+J19+K11</f>
        <v>6256190.3799999999</v>
      </c>
    </row>
    <row r="34" spans="1:14">
      <c r="C34" s="178" t="str">
        <f>+'AUG WKSHT'!C34</f>
        <v>R285</v>
      </c>
      <c r="G34" s="177">
        <f>+G28+G24+G20+G13</f>
        <v>9452209.8499999996</v>
      </c>
      <c r="J34" s="177">
        <f>+J28+J24+J20+J13</f>
        <v>28682154.75</v>
      </c>
    </row>
    <row r="35" spans="1:14">
      <c r="C35" s="178" t="str">
        <f>+'AUG WKSHT'!C35</f>
        <v>R286</v>
      </c>
      <c r="G35" s="183">
        <f>+G29+G25+G21+G14</f>
        <v>2666007.9000000004</v>
      </c>
      <c r="H35" s="72">
        <f>SUM(G33:G35)</f>
        <v>14103878.52</v>
      </c>
      <c r="J35" s="183">
        <f>+J29+J25+J21+J14</f>
        <v>8089838.5500000007</v>
      </c>
      <c r="K35" s="72">
        <f>SUM(J33:J35)</f>
        <v>43028183.680000007</v>
      </c>
    </row>
    <row r="36" spans="1:14" ht="14.25" customHeight="1">
      <c r="N36" s="160"/>
    </row>
    <row r="37" spans="1:14" ht="15" customHeight="1">
      <c r="C37" s="259" t="s">
        <v>60</v>
      </c>
      <c r="D37" s="212"/>
      <c r="E37" s="212"/>
      <c r="F37" s="212"/>
      <c r="G37" s="223" t="s">
        <v>61</v>
      </c>
      <c r="H37" s="230">
        <v>2400000603</v>
      </c>
      <c r="I37" s="172"/>
      <c r="J37" s="167"/>
      <c r="K37" s="166"/>
      <c r="L37" s="166"/>
      <c r="M37" s="166"/>
    </row>
    <row r="38" spans="1:14">
      <c r="C38" s="212"/>
      <c r="D38" s="227"/>
      <c r="E38" s="212" t="s">
        <v>59</v>
      </c>
      <c r="F38" s="212"/>
      <c r="G38" s="212"/>
      <c r="H38" s="165">
        <f>SUM(G39:G41)</f>
        <v>341.95000000000005</v>
      </c>
      <c r="K38" s="166"/>
      <c r="L38" s="166"/>
      <c r="M38" s="166"/>
    </row>
    <row r="39" spans="1:14">
      <c r="C39" s="212"/>
      <c r="D39" s="212"/>
      <c r="E39" s="227" t="s">
        <v>66</v>
      </c>
      <c r="F39" s="227"/>
      <c r="G39" s="165">
        <f>-G19</f>
        <v>0</v>
      </c>
      <c r="H39" s="212"/>
      <c r="J39" s="172"/>
      <c r="K39" s="166"/>
      <c r="L39" s="166"/>
      <c r="M39" s="166"/>
    </row>
    <row r="40" spans="1:14">
      <c r="C40" s="212"/>
      <c r="D40" s="212"/>
      <c r="E40" s="227" t="s">
        <v>65</v>
      </c>
      <c r="F40" s="227"/>
      <c r="G40" s="165">
        <f>-G20</f>
        <v>266.72000000000003</v>
      </c>
      <c r="H40" s="212"/>
      <c r="J40" s="172"/>
      <c r="K40" s="166"/>
      <c r="L40" s="166"/>
      <c r="M40" s="166"/>
    </row>
    <row r="41" spans="1:14">
      <c r="C41" s="212"/>
      <c r="D41" s="212"/>
      <c r="E41" s="227" t="s">
        <v>66</v>
      </c>
      <c r="F41" s="212"/>
      <c r="G41" s="212">
        <f>-G21</f>
        <v>75.23</v>
      </c>
      <c r="H41" s="212"/>
      <c r="K41" s="166"/>
      <c r="L41" s="166"/>
      <c r="M41" s="166"/>
    </row>
    <row r="42" spans="1:14">
      <c r="C42" s="259" t="s">
        <v>72</v>
      </c>
      <c r="D42" s="212"/>
      <c r="E42" s="227"/>
      <c r="F42" s="275"/>
      <c r="G42" s="401"/>
      <c r="H42" s="401"/>
      <c r="K42" s="166"/>
      <c r="L42" s="166"/>
      <c r="M42" s="166"/>
    </row>
    <row r="43" spans="1:14">
      <c r="C43" s="212"/>
      <c r="D43" s="212"/>
      <c r="E43" s="227"/>
      <c r="F43" s="212"/>
      <c r="G43" s="223"/>
      <c r="H43" s="212"/>
      <c r="K43" s="166"/>
      <c r="L43" s="166"/>
      <c r="M43" s="166"/>
    </row>
    <row r="44" spans="1:14" s="172" customFormat="1">
      <c r="E44" s="179"/>
      <c r="K44" s="166"/>
      <c r="L44" s="166"/>
      <c r="M44" s="166"/>
    </row>
    <row r="45" spans="1:14">
      <c r="A45" s="176" t="str">
        <f>+'AUG WKSHT'!A45</f>
        <v>LAW ENFORCEMENT FOUNDATION FUND (13DB-525-0000)</v>
      </c>
    </row>
    <row r="46" spans="1:14">
      <c r="A46" s="176"/>
      <c r="B46" s="178" t="str">
        <f>+'AUG WKSHT'!B46</f>
        <v>BALANCE FORWARDED FROM FISCAL YEAR 2023</v>
      </c>
      <c r="K46" s="72">
        <f>+'JUL WKSHT'!K46</f>
        <v>73871638.640000001</v>
      </c>
    </row>
    <row r="47" spans="1:14">
      <c r="A47" s="176"/>
      <c r="K47" s="72"/>
    </row>
    <row r="48" spans="1:14">
      <c r="B48" s="178" t="s">
        <v>73</v>
      </c>
      <c r="H48" s="123">
        <f>+'AUG WKSHT'!H66</f>
        <v>78185936.909999996</v>
      </c>
      <c r="I48" s="72"/>
    </row>
    <row r="49" spans="2:12">
      <c r="B49" s="178"/>
      <c r="H49" s="72"/>
      <c r="I49" s="72"/>
      <c r="L49" s="192"/>
    </row>
    <row r="50" spans="2:12">
      <c r="B50" s="178" t="str">
        <f>+'AUG WKSHT'!B50</f>
        <v>REVENUE DISTRIBUTION INCOME (REVENUE DETAIL WORKSHEET):</v>
      </c>
      <c r="H50" s="200" t="s">
        <v>63</v>
      </c>
      <c r="K50" s="200" t="s">
        <v>63</v>
      </c>
      <c r="L50" s="243"/>
    </row>
    <row r="51" spans="2:12">
      <c r="C51" s="178" t="str">
        <f>+'AUG WKSHT'!C51</f>
        <v>REVENUE DISTRIBUTION (N114)</v>
      </c>
      <c r="G51" s="132">
        <v>9236299.8599999994</v>
      </c>
      <c r="H51" s="201">
        <f>+H14*0.78</f>
        <v>9236299.8624000009</v>
      </c>
      <c r="J51" s="72">
        <f>+G51+'AUG WKSHT'!J51</f>
        <v>28311307.210000001</v>
      </c>
      <c r="K51" s="201">
        <f>+K14*0.78</f>
        <v>28311307.237200003</v>
      </c>
      <c r="L51" s="195"/>
    </row>
    <row r="52" spans="2:12">
      <c r="C52" s="178" t="str">
        <f>+'AUG WKSHT'!C52</f>
        <v>REVENUE REFUNDS:  PRIOR YEAR</v>
      </c>
      <c r="G52" s="187"/>
      <c r="J52" s="177">
        <f>+G52+'AUG WKSHT'!J52</f>
        <v>0</v>
      </c>
      <c r="L52" s="192"/>
    </row>
    <row r="53" spans="2:12">
      <c r="C53" s="178" t="str">
        <f>+'AUG WKSHT'!C53</f>
        <v>REVENUE REFUNDS:  CURRENT YEAR</v>
      </c>
      <c r="G53" s="187">
        <v>-4349.67</v>
      </c>
      <c r="J53" s="177">
        <f>+G53+'AUG WKSHT'!J53</f>
        <v>-4772.9800000000005</v>
      </c>
      <c r="L53" s="192"/>
    </row>
    <row r="54" spans="2:12">
      <c r="C54" s="178" t="str">
        <f>+'AUG WKSHT'!C54</f>
        <v>REFUND OF PRIOR YEAR DISBURSEMENTS (R881)</v>
      </c>
      <c r="G54" s="187"/>
      <c r="J54" s="177">
        <f>+G54+'AUG WKSHT'!J54</f>
        <v>0</v>
      </c>
    </row>
    <row r="55" spans="2:12">
      <c r="C55" s="178" t="str">
        <f>+'AUG WKSHT'!C55</f>
        <v>UNHONORED CHECKS</v>
      </c>
      <c r="G55" s="187"/>
      <c r="J55" s="177">
        <f>+G55+'AUG WKSHT'!J55</f>
        <v>0</v>
      </c>
      <c r="L55" s="185"/>
    </row>
    <row r="56" spans="2:12">
      <c r="C56" s="178" t="str">
        <f>+'AUG WKSHT'!C56</f>
        <v>RECEIPT ADJUSTMENTS</v>
      </c>
      <c r="G56" s="182">
        <v>216176.71</v>
      </c>
      <c r="H56" s="177">
        <f>SUM(G51:G56)</f>
        <v>9448126.9000000004</v>
      </c>
      <c r="J56" s="183">
        <f>+G56+'AUG WKSHT'!J56</f>
        <v>375887.24</v>
      </c>
      <c r="K56" s="177">
        <f>SUM(J51:J56)</f>
        <v>28682421.469999999</v>
      </c>
      <c r="L56" s="195"/>
    </row>
    <row r="57" spans="2:12">
      <c r="L57" s="185"/>
    </row>
    <row r="58" spans="2:12">
      <c r="B58" s="178" t="str">
        <f>+'AUG WKSHT'!B58</f>
        <v>INVESTMENT INCOME (R771)</v>
      </c>
      <c r="G58" s="177" t="s">
        <v>32</v>
      </c>
      <c r="H58" s="187">
        <v>335127.51</v>
      </c>
      <c r="K58" s="177">
        <f>+H58+'AUG WKSHT'!K58</f>
        <v>936049.59000000008</v>
      </c>
      <c r="L58" s="195"/>
    </row>
    <row r="59" spans="2:12">
      <c r="L59" s="193" t="s">
        <v>50</v>
      </c>
    </row>
    <row r="60" spans="2:12">
      <c r="B60" s="178" t="str">
        <f>+'AUG WKSHT'!B60</f>
        <v>OTHER REVENUE</v>
      </c>
      <c r="F60" s="177" t="s">
        <v>32</v>
      </c>
      <c r="H60" s="187"/>
      <c r="K60" s="177">
        <f>+H60+'AUG WKSHT'!K60</f>
        <v>0</v>
      </c>
      <c r="L60" s="194">
        <f>4018305.88+'AUG WKSHT'!L60</f>
        <v>8190274.1500000004</v>
      </c>
    </row>
    <row r="61" spans="2:12">
      <c r="L61" s="173" t="s">
        <v>54</v>
      </c>
    </row>
    <row r="62" spans="2:12">
      <c r="B62" s="178" t="str">
        <f>+'AUG WKSHT'!B62</f>
        <v>EXPENDITURES (LAW ENFORCEMENT SUMMARY)</v>
      </c>
      <c r="H62" s="185"/>
      <c r="K62" s="195"/>
      <c r="L62" s="173">
        <f>+K46</f>
        <v>73871638.640000001</v>
      </c>
    </row>
    <row r="63" spans="2:12">
      <c r="B63" s="178"/>
      <c r="C63" s="177" t="str">
        <f>+'AUG WKSHT'!C63</f>
        <v>CASH EXPENDITURES</v>
      </c>
      <c r="J63" s="187">
        <v>21428196.91</v>
      </c>
      <c r="L63" s="173" t="s">
        <v>55</v>
      </c>
    </row>
    <row r="64" spans="2:12">
      <c r="B64" s="178"/>
      <c r="C64" s="177" t="str">
        <f>+'AUG WKSHT'!C64</f>
        <v>ACCRUED EXPENDITURES</v>
      </c>
      <c r="H64" s="183">
        <f>+K64-'AUG WKSHT'!K64</f>
        <v>5764822.9000000004</v>
      </c>
      <c r="J64" s="182">
        <v>-142455.63</v>
      </c>
      <c r="K64" s="191">
        <f>SUM(J63:J64)</f>
        <v>21285741.280000001</v>
      </c>
      <c r="L64" s="173">
        <f>+J64</f>
        <v>-142455.63</v>
      </c>
    </row>
    <row r="65" spans="1:13">
      <c r="B65" s="178"/>
      <c r="H65" s="185"/>
      <c r="K65" s="195"/>
      <c r="L65" s="173" t="s">
        <v>53</v>
      </c>
      <c r="M65" s="177" t="s">
        <v>70</v>
      </c>
    </row>
    <row r="66" spans="1:13" ht="13.5" thickBot="1">
      <c r="B66" s="227" t="s">
        <v>91</v>
      </c>
      <c r="C66" s="187"/>
      <c r="D66" s="187"/>
      <c r="E66" s="187"/>
      <c r="H66" s="196">
        <f>+H48+H56+H58+H60-H64</f>
        <v>82204368.420000002</v>
      </c>
      <c r="K66" s="196">
        <f>+K46+K56+K58+K60-K64</f>
        <v>82204368.420000002</v>
      </c>
      <c r="L66" s="213">
        <f>+L60+L62-L64</f>
        <v>82204368.420000002</v>
      </c>
      <c r="M66" s="8">
        <f>L66-K66</f>
        <v>0</v>
      </c>
    </row>
    <row r="67" spans="1:13">
      <c r="K67" s="172"/>
      <c r="L67" s="185"/>
      <c r="M67" s="8"/>
    </row>
    <row r="68" spans="1:13">
      <c r="A68" s="176" t="str">
        <f>+'AUG WKSHT'!A68</f>
        <v>FIREFIGHTERS FOUNDATION FUND (1341-470-UNIT-PK00)</v>
      </c>
      <c r="L68" s="185"/>
      <c r="M68" s="8"/>
    </row>
    <row r="69" spans="1:13">
      <c r="A69" s="178"/>
      <c r="B69" s="177" t="str">
        <f>+B46</f>
        <v>BALANCE FORWARDED FROM FISCAL YEAR 2023</v>
      </c>
      <c r="K69" s="72">
        <f>+'AUG WKSHT'!K69</f>
        <v>38612985.210000001</v>
      </c>
      <c r="L69" s="185"/>
      <c r="M69" s="8"/>
    </row>
    <row r="70" spans="1:13">
      <c r="A70" s="176"/>
      <c r="K70" s="72"/>
      <c r="L70" s="185"/>
      <c r="M70" s="8"/>
    </row>
    <row r="71" spans="1:13">
      <c r="B71" s="233" t="s">
        <v>62</v>
      </c>
      <c r="C71" s="242"/>
      <c r="D71" s="242"/>
      <c r="E71" s="242"/>
      <c r="F71" s="242"/>
      <c r="H71" s="123">
        <f>+'AUG WKSHT'!H89</f>
        <v>42940560.899999991</v>
      </c>
      <c r="I71" s="72"/>
      <c r="M71" s="8"/>
    </row>
    <row r="72" spans="1:13">
      <c r="B72" s="178"/>
      <c r="H72" s="72"/>
      <c r="I72" s="72"/>
      <c r="M72" s="8"/>
    </row>
    <row r="73" spans="1:13">
      <c r="B73" s="199" t="str">
        <f>+B50</f>
        <v>REVENUE DISTRIBUTION INCOME (REVENUE DETAIL WORKSHEET):</v>
      </c>
      <c r="M73" s="8"/>
    </row>
    <row r="74" spans="1:13">
      <c r="C74" s="178" t="str">
        <f>+C51</f>
        <v>REVENUE DISTRIBUTION (N114)</v>
      </c>
      <c r="H74" s="200" t="s">
        <v>64</v>
      </c>
      <c r="K74" s="200"/>
      <c r="M74" s="8"/>
    </row>
    <row r="75" spans="1:13">
      <c r="C75" s="178"/>
      <c r="D75" s="178" t="str">
        <f>+'AUG WKSHT'!D75</f>
        <v>FIREFIGHTERS FUND</v>
      </c>
      <c r="F75" s="132">
        <v>2605110.2200000002</v>
      </c>
      <c r="G75" s="72"/>
      <c r="H75" s="201">
        <f>+H14*0.22</f>
        <v>2605110.2176000001</v>
      </c>
      <c r="J75" s="72"/>
      <c r="K75" s="66"/>
      <c r="L75" s="169" t="s">
        <v>43</v>
      </c>
      <c r="M75" s="8"/>
    </row>
    <row r="76" spans="1:13">
      <c r="C76" s="178"/>
      <c r="D76" s="178" t="str">
        <f>+'AUG WKSHT'!D76</f>
        <v>VOLUNTEER FIRE DEPT AID</v>
      </c>
      <c r="F76" s="182">
        <v>2256693.69</v>
      </c>
      <c r="G76" s="72">
        <f>SUM(F75:F76)</f>
        <v>4861803.91</v>
      </c>
      <c r="J76" s="72">
        <f>+G76+'AUG WKSHT'!J76</f>
        <v>14680365.77</v>
      </c>
      <c r="L76" s="173">
        <f>+K11+J14</f>
        <v>14680365.770000001</v>
      </c>
      <c r="M76" s="8"/>
    </row>
    <row r="77" spans="1:13">
      <c r="C77" s="178" t="str">
        <f>+C52</f>
        <v>REVENUE REFUNDS:  PRIOR YEAR</v>
      </c>
      <c r="G77" s="187"/>
      <c r="J77" s="177">
        <f>+G77+'AUG WKSHT'!J77</f>
        <v>0</v>
      </c>
      <c r="L77" s="239" t="s">
        <v>44</v>
      </c>
      <c r="M77" s="8"/>
    </row>
    <row r="78" spans="1:13">
      <c r="C78" s="177" t="str">
        <f>+C53</f>
        <v>REVENUE REFUNDS:  CURRENT YEAR</v>
      </c>
      <c r="G78" s="187">
        <v>-1226.83</v>
      </c>
      <c r="J78" s="177">
        <f>+G78+'AUG WKSHT'!J78</f>
        <v>-1346.22</v>
      </c>
      <c r="L78" s="236">
        <f>+J76-L76</f>
        <v>0</v>
      </c>
      <c r="M78" s="8"/>
    </row>
    <row r="79" spans="1:13">
      <c r="C79" s="178" t="str">
        <f>+C54</f>
        <v>REFUND OF PRIOR YEAR DISBURSEMENTS (R881)</v>
      </c>
      <c r="G79" s="187"/>
      <c r="J79" s="177">
        <f>+G79+'AUG WKSHT'!J79</f>
        <v>0</v>
      </c>
      <c r="M79" s="8"/>
    </row>
    <row r="80" spans="1:13">
      <c r="C80" s="177" t="str">
        <f>+C55</f>
        <v>UNHONORED CHECKS</v>
      </c>
      <c r="G80" s="187"/>
      <c r="J80" s="177">
        <f>+G80+'AUG WKSHT'!J80</f>
        <v>0</v>
      </c>
      <c r="M80" s="8"/>
    </row>
    <row r="81" spans="1:14">
      <c r="C81" s="177" t="str">
        <f>+C56</f>
        <v>RECEIPT ADJUSTMENTS</v>
      </c>
      <c r="G81" s="182">
        <v>-210060.01</v>
      </c>
      <c r="H81" s="177">
        <f>SUM(G75:G81)</f>
        <v>4650517.07</v>
      </c>
      <c r="J81" s="183">
        <f>+G81+'AUG WKSHT'!J81</f>
        <v>-332915.39</v>
      </c>
      <c r="K81" s="177">
        <f>SUM(J76:J81)</f>
        <v>14346104.159999998</v>
      </c>
      <c r="M81" s="8"/>
    </row>
    <row r="82" spans="1:14">
      <c r="M82" s="8"/>
    </row>
    <row r="83" spans="1:14">
      <c r="B83" s="178" t="str">
        <f>+B58</f>
        <v>INVESTMENT INCOME (R771)</v>
      </c>
      <c r="G83" s="177" t="s">
        <v>32</v>
      </c>
      <c r="H83" s="187">
        <v>93043.28</v>
      </c>
      <c r="K83" s="177">
        <f>+H83+'AUG WKSHT'!K83</f>
        <v>401930.95000000007</v>
      </c>
      <c r="M83" s="8"/>
    </row>
    <row r="84" spans="1:14">
      <c r="L84" s="193" t="s">
        <v>50</v>
      </c>
      <c r="M84" s="8"/>
    </row>
    <row r="85" spans="1:14">
      <c r="B85" s="178" t="str">
        <f>+B60</f>
        <v>OTHER REVENUE</v>
      </c>
      <c r="F85" s="177" t="s">
        <v>32</v>
      </c>
      <c r="H85" s="187"/>
      <c r="K85" s="177">
        <f>+H85+'AUG WKSHT'!K85</f>
        <v>0</v>
      </c>
      <c r="L85" s="194">
        <f>-2353870.04+'AUG WKSHT'!L85</f>
        <v>1973705.6500000004</v>
      </c>
      <c r="M85" s="8"/>
    </row>
    <row r="86" spans="1:14">
      <c r="L86" s="173" t="s">
        <v>54</v>
      </c>
      <c r="M86" s="8"/>
    </row>
    <row r="87" spans="1:14">
      <c r="B87" s="178" t="str">
        <f>+'AUG WKSHT'!B87</f>
        <v>EXPENDITURES (FIREFIGHTERS SUMMARY)</v>
      </c>
      <c r="H87" s="183">
        <f>+K87-'AUG WKSHT'!K87</f>
        <v>7097430.3900000006</v>
      </c>
      <c r="K87" s="256">
        <v>12774329.460000001</v>
      </c>
      <c r="L87" s="173">
        <f>+K69</f>
        <v>38612985.210000001</v>
      </c>
      <c r="M87" s="8"/>
    </row>
    <row r="88" spans="1:14">
      <c r="L88" s="173" t="s">
        <v>53</v>
      </c>
      <c r="M88" s="177" t="s">
        <v>70</v>
      </c>
    </row>
    <row r="89" spans="1:14" ht="13.5" thickBot="1">
      <c r="B89" s="212" t="str">
        <f>+B66</f>
        <v>CASH BALANCE SEPTEMBER 30, 2023</v>
      </c>
      <c r="C89" s="212"/>
      <c r="D89" s="212"/>
      <c r="E89" s="212"/>
      <c r="H89" s="196">
        <f>+H71+H81+H83+H85-H87</f>
        <v>40586690.859999992</v>
      </c>
      <c r="K89" s="196">
        <f>+K69+K81+K83+K85-K87</f>
        <v>40586690.859999999</v>
      </c>
      <c r="L89" s="213">
        <f>+L85+L87</f>
        <v>40586690.859999999</v>
      </c>
      <c r="M89" s="8">
        <f>L89-K89</f>
        <v>0</v>
      </c>
    </row>
    <row r="91" spans="1:14" s="8" customFormat="1">
      <c r="A91" s="82" t="s">
        <v>71</v>
      </c>
      <c r="B91" s="82"/>
      <c r="C91" s="82"/>
      <c r="D91" s="82"/>
      <c r="E91" s="82"/>
    </row>
    <row r="92" spans="1:14" s="8" customFormat="1">
      <c r="A92" s="159"/>
      <c r="B92" s="159"/>
      <c r="C92" s="159"/>
      <c r="D92" s="159"/>
      <c r="E92" s="159"/>
      <c r="F92" s="112"/>
      <c r="G92" s="112"/>
      <c r="H92" s="112"/>
      <c r="I92" s="112"/>
      <c r="J92" s="112"/>
      <c r="K92" s="112"/>
      <c r="L92" s="112"/>
      <c r="M92" s="112"/>
      <c r="N92" s="112"/>
    </row>
  </sheetData>
  <mergeCells count="1">
    <mergeCell ref="G42:H42"/>
  </mergeCells>
  <phoneticPr fontId="12" type="noConversion"/>
  <printOptions horizontalCentered="1" verticalCentered="1"/>
  <pageMargins left="0" right="0" top="0" bottom="0" header="0" footer="0"/>
  <pageSetup scale="62" orientation="portrait" r:id="rId1"/>
  <headerFooter alignWithMargins="0">
    <oddHeader>&amp;R&amp;F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65"/>
  <sheetViews>
    <sheetView workbookViewId="0">
      <selection activeCell="J16" sqref="J16"/>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2" width="14.7109375" style="2" customWidth="1"/>
    <col min="13" max="13" width="15.28515625" style="2" customWidth="1"/>
    <col min="14" max="14" width="1.7109375" style="2" customWidth="1"/>
    <col min="15" max="15" width="13.42578125" style="2" bestFit="1"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+'SEP WKSHT'!A4</f>
        <v>FOR THE PERIOD SEPTEMBER 1, 2023 - SEPTEMBER 30, 2023</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15"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+'SEP WKSHT'!H11</f>
        <v>2256693.69</v>
      </c>
      <c r="I11" s="13"/>
      <c r="J11" s="34"/>
      <c r="K11" s="42"/>
      <c r="L11" s="13">
        <f>+'SEP WKSHT'!K11</f>
        <v>6695125.2400000002</v>
      </c>
      <c r="M11" s="13"/>
      <c r="N11" s="34"/>
    </row>
    <row r="12" spans="1:15">
      <c r="A12" s="53"/>
      <c r="B12" s="31"/>
      <c r="C12" s="31" t="str">
        <f>+JUL!C12</f>
        <v>LAW ENFORCEMENT AND FIREFIGHTERS FUND</v>
      </c>
      <c r="D12" s="32"/>
      <c r="E12" s="33"/>
      <c r="F12" s="35"/>
      <c r="G12" s="42"/>
      <c r="H12" s="11">
        <f>+'SEP WKSHT'!H14</f>
        <v>11841410.08</v>
      </c>
      <c r="I12" s="13">
        <f>SUM(H11:H12)</f>
        <v>14098103.77</v>
      </c>
      <c r="J12" s="34"/>
      <c r="K12" s="42"/>
      <c r="L12" s="11">
        <f>+'SEP WKSHT'!K14</f>
        <v>36296547.740000002</v>
      </c>
      <c r="M12" s="13">
        <f>SUM(L11:L12)</f>
        <v>42991672.980000004</v>
      </c>
      <c r="N12" s="34"/>
    </row>
    <row r="13" spans="1:15">
      <c r="A13" s="53"/>
      <c r="B13" s="31" t="str">
        <f>+JUL!B13</f>
        <v>REVENUE REFUNDS</v>
      </c>
      <c r="C13" s="33"/>
      <c r="D13" s="31"/>
      <c r="E13" s="33"/>
      <c r="F13" s="35"/>
      <c r="G13" s="42"/>
      <c r="H13" s="16"/>
      <c r="I13" s="16">
        <f>+'SEP WKSHT'!H21</f>
        <v>-341.95000000000005</v>
      </c>
      <c r="J13" s="35"/>
      <c r="K13" s="42"/>
      <c r="L13" s="16"/>
      <c r="M13" s="16">
        <f>+'SEP WKSHT'!K21</f>
        <v>-6461.1500000000005</v>
      </c>
      <c r="N13" s="35"/>
    </row>
    <row r="14" spans="1:15">
      <c r="A14" s="30"/>
      <c r="B14" s="31" t="str">
        <f>+JUL!B14</f>
        <v>UNHONORED CHECKS</v>
      </c>
      <c r="C14" s="33"/>
      <c r="D14" s="32"/>
      <c r="E14" s="33"/>
      <c r="F14" s="35"/>
      <c r="G14" s="42"/>
      <c r="H14" s="16"/>
      <c r="I14" s="16">
        <f>+'SEP WKSHT'!H25</f>
        <v>0</v>
      </c>
      <c r="J14" s="35"/>
      <c r="K14" s="42"/>
      <c r="L14" s="16"/>
      <c r="M14" s="16">
        <f>+'SEP WKSHT'!K25</f>
        <v>0</v>
      </c>
      <c r="N14" s="35"/>
    </row>
    <row r="15" spans="1:15">
      <c r="A15" s="30"/>
      <c r="B15" s="31" t="str">
        <f>+JUL!B15</f>
        <v>RECEIPT ADJUSTMENTS</v>
      </c>
      <c r="C15" s="33"/>
      <c r="D15" s="32"/>
      <c r="E15" s="33"/>
      <c r="F15" s="35"/>
      <c r="G15" s="42"/>
      <c r="H15" s="16"/>
      <c r="I15" s="36">
        <f>+'SEP WKSHT'!H29</f>
        <v>6116.7000000000116</v>
      </c>
      <c r="J15" s="37"/>
      <c r="K15" s="42"/>
      <c r="L15" s="16"/>
      <c r="M15" s="36">
        <f>+'SEP WKSHT'!K29</f>
        <v>42971.850000000006</v>
      </c>
      <c r="N15" s="37"/>
    </row>
    <row r="16" spans="1:15" ht="13.5" thickBot="1">
      <c r="A16" s="50"/>
      <c r="B16" s="33"/>
      <c r="C16" s="31" t="str">
        <f>+JUL!C16</f>
        <v>NET RECEIPTS TO BE DISTRIBUTED</v>
      </c>
      <c r="D16" s="33"/>
      <c r="E16" s="33"/>
      <c r="F16" s="35"/>
      <c r="G16" s="42"/>
      <c r="H16" s="16"/>
      <c r="I16" s="22">
        <f>SUM(I10:I15)</f>
        <v>14103878.52</v>
      </c>
      <c r="J16" s="56"/>
      <c r="K16" s="42"/>
      <c r="L16" s="16"/>
      <c r="M16" s="22">
        <f>SUM(M10:M15)</f>
        <v>43028183.680000007</v>
      </c>
      <c r="N16" s="56"/>
      <c r="O16" s="2">
        <f>+I16-'SEP WKSHT'!H30</f>
        <v>0</v>
      </c>
    </row>
    <row r="17" spans="1:15" ht="13.5" thickBot="1">
      <c r="A17" s="38"/>
      <c r="B17" s="39"/>
      <c r="C17" s="39"/>
      <c r="D17" s="39"/>
      <c r="E17" s="39"/>
      <c r="F17" s="40"/>
      <c r="G17" s="43"/>
      <c r="H17" s="14"/>
      <c r="I17" s="14"/>
      <c r="J17" s="40"/>
      <c r="K17" s="43"/>
      <c r="L17" s="14"/>
      <c r="M17" s="14"/>
      <c r="N17" s="40"/>
      <c r="O17" s="2">
        <f>+M16-'SEP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+'SEP WKSHT'!K46</f>
        <v>73871638.640000001</v>
      </c>
      <c r="N22" s="35"/>
    </row>
    <row r="23" spans="1:15">
      <c r="A23" s="49"/>
      <c r="B23" s="44"/>
      <c r="C23" s="32"/>
      <c r="D23" s="32"/>
      <c r="E23" s="32"/>
      <c r="F23" s="35"/>
      <c r="G23" s="42"/>
      <c r="H23" s="16"/>
      <c r="I23" s="16"/>
      <c r="J23" s="35"/>
      <c r="K23" s="42"/>
      <c r="L23" s="16"/>
      <c r="M23" s="16"/>
      <c r="N23" s="35"/>
    </row>
    <row r="24" spans="1:15">
      <c r="A24" s="53"/>
      <c r="B24" s="31" t="str">
        <f>+'SEP WKSHT'!B48</f>
        <v>Cash Balance August 31, 2022</v>
      </c>
      <c r="C24" s="33"/>
      <c r="D24" s="32"/>
      <c r="E24" s="32"/>
      <c r="F24" s="35"/>
      <c r="G24" s="42"/>
      <c r="H24" s="16"/>
      <c r="I24" s="20">
        <f>+'SEP WKSHT'!H48</f>
        <v>78185936.909999996</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+'SEP WKSHT'!G51</f>
        <v>9236299.8599999994</v>
      </c>
      <c r="I27" s="33"/>
      <c r="J27" s="57"/>
      <c r="K27" s="42"/>
      <c r="L27" s="20">
        <f>+'SEP WKSHT'!J51</f>
        <v>28311307.210000001</v>
      </c>
      <c r="M27" s="33"/>
      <c r="N27" s="57"/>
    </row>
    <row r="28" spans="1:15">
      <c r="A28" s="30"/>
      <c r="B28" s="32"/>
      <c r="C28" s="31" t="str">
        <f>+JUL!C28</f>
        <v>REVENUE REFUNDS:  PRIOR YEAR</v>
      </c>
      <c r="D28" s="32"/>
      <c r="E28" s="32"/>
      <c r="F28" s="35"/>
      <c r="G28" s="42"/>
      <c r="H28" s="16">
        <f>+'SEP WKSHT'!G52</f>
        <v>0</v>
      </c>
      <c r="I28" s="33"/>
      <c r="J28" s="57"/>
      <c r="K28" s="42"/>
      <c r="L28" s="16">
        <f>+'SEP WKSHT'!J52</f>
        <v>0</v>
      </c>
      <c r="M28" s="33"/>
      <c r="N28" s="57"/>
    </row>
    <row r="29" spans="1:15">
      <c r="A29" s="30"/>
      <c r="B29" s="32"/>
      <c r="C29" s="31" t="str">
        <f>+JUL!C29</f>
        <v>REVENUE REFUNDS:  CURRENT YEAR</v>
      </c>
      <c r="D29" s="32"/>
      <c r="E29" s="32"/>
      <c r="F29" s="35"/>
      <c r="G29" s="42"/>
      <c r="H29" s="16">
        <f>+'SEP WKSHT'!G53</f>
        <v>-4349.67</v>
      </c>
      <c r="I29" s="33"/>
      <c r="J29" s="57"/>
      <c r="K29" s="42"/>
      <c r="L29" s="16">
        <f>+'SEP WKSHT'!J53</f>
        <v>-4772.9800000000005</v>
      </c>
      <c r="M29" s="33"/>
      <c r="N29" s="57"/>
    </row>
    <row r="30" spans="1:15">
      <c r="A30" s="30"/>
      <c r="B30" s="32"/>
      <c r="C30" s="31" t="str">
        <f>+JUL!C30</f>
        <v>REFUND OF PRIOR YEAR DISBURSEMENTS</v>
      </c>
      <c r="D30" s="32"/>
      <c r="E30" s="32"/>
      <c r="F30" s="35"/>
      <c r="G30" s="42"/>
      <c r="H30" s="16">
        <f>+'SEP WKSHT'!G54</f>
        <v>0</v>
      </c>
      <c r="I30" s="33"/>
      <c r="J30" s="57"/>
      <c r="K30" s="42"/>
      <c r="L30" s="16">
        <f>+'SEP WKSHT'!J54</f>
        <v>0</v>
      </c>
      <c r="M30" s="33"/>
      <c r="N30" s="57"/>
    </row>
    <row r="31" spans="1:15">
      <c r="A31" s="30"/>
      <c r="B31" s="32"/>
      <c r="C31" s="31" t="str">
        <f>+JUL!C31</f>
        <v>UNHONORED CHECKS</v>
      </c>
      <c r="D31" s="32"/>
      <c r="E31" s="32"/>
      <c r="F31" s="35"/>
      <c r="G31" s="42"/>
      <c r="H31" s="16">
        <f>+'SEP WKSHT'!G55</f>
        <v>0</v>
      </c>
      <c r="I31" s="33"/>
      <c r="J31" s="57"/>
      <c r="K31" s="42"/>
      <c r="L31" s="16">
        <f>+'SEP WKSHT'!J55</f>
        <v>0</v>
      </c>
      <c r="M31" s="33"/>
      <c r="N31" s="57"/>
    </row>
    <row r="32" spans="1:15">
      <c r="A32" s="30"/>
      <c r="B32" s="32"/>
      <c r="C32" s="31" t="str">
        <f>+JUL!C32</f>
        <v>RECEIPT ADJUSTMENTS</v>
      </c>
      <c r="D32" s="32"/>
      <c r="E32" s="32"/>
      <c r="F32" s="35"/>
      <c r="G32" s="42"/>
      <c r="H32" s="11">
        <f>+'SEP WKSHT'!G56</f>
        <v>216176.71</v>
      </c>
      <c r="I32" s="16">
        <f>SUM(H27:H32)</f>
        <v>9448126.9000000004</v>
      </c>
      <c r="J32" s="35"/>
      <c r="K32" s="42"/>
      <c r="L32" s="11">
        <f>+'SEP WKSHT'!J56</f>
        <v>375887.24</v>
      </c>
      <c r="M32" s="16">
        <f>SUM(L27:L32)</f>
        <v>28682421.469999999</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+'SEP WKSHT'!H58</f>
        <v>335127.51</v>
      </c>
      <c r="J34" s="35"/>
      <c r="K34" s="42"/>
      <c r="L34" s="16"/>
      <c r="M34" s="16">
        <f>+'SEP WKSHT'!K58</f>
        <v>936049.59000000008</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+'SEP WKSHT'!H60</f>
        <v>0</v>
      </c>
      <c r="J36" s="35"/>
      <c r="K36" s="42"/>
      <c r="L36" s="16"/>
      <c r="M36" s="16">
        <f>+'SEP WKSHT'!K60</f>
        <v>0</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+'SEP WKSHT'!H64</f>
        <v>5764822.9000000004</v>
      </c>
      <c r="J38" s="35"/>
      <c r="K38" s="42"/>
      <c r="L38" s="16"/>
      <c r="M38" s="11">
        <f>+'SEP WKSHT'!K64</f>
        <v>21285741.280000001</v>
      </c>
      <c r="N38" s="35"/>
    </row>
    <row r="39" spans="1:15">
      <c r="A39" s="30"/>
      <c r="B39" s="32"/>
      <c r="C39" s="32"/>
      <c r="D39" s="32"/>
      <c r="E39" s="32"/>
      <c r="F39" s="35"/>
      <c r="G39" s="42"/>
      <c r="H39" s="16"/>
      <c r="I39" s="16"/>
      <c r="J39" s="35"/>
      <c r="K39" s="42"/>
      <c r="L39" s="16"/>
      <c r="M39" s="16"/>
      <c r="N39" s="35"/>
    </row>
    <row r="40" spans="1:15" ht="13.5" thickBot="1">
      <c r="A40" s="53"/>
      <c r="B40" s="31" t="str">
        <f>+'SEP WKSHT'!B66</f>
        <v>CASH BALANCE SEPTEMBER 30, 2023</v>
      </c>
      <c r="C40" s="32"/>
      <c r="D40" s="32"/>
      <c r="E40" s="32"/>
      <c r="F40" s="35"/>
      <c r="G40" s="42"/>
      <c r="H40" s="16"/>
      <c r="I40" s="21">
        <f>+I24+I32+I34+I36-I38</f>
        <v>82204368.420000002</v>
      </c>
      <c r="J40" s="56"/>
      <c r="K40" s="42"/>
      <c r="L40" s="16"/>
      <c r="M40" s="21">
        <f>+M22+M32+M34+M36-M38</f>
        <v>82204368.420000002</v>
      </c>
      <c r="N40" s="56"/>
      <c r="O40" s="2">
        <f>+I40-'SEP WKSHT'!H66</f>
        <v>0</v>
      </c>
    </row>
    <row r="41" spans="1:15" ht="13.5" thickBot="1">
      <c r="A41" s="38"/>
      <c r="B41" s="39"/>
      <c r="C41" s="39"/>
      <c r="D41" s="39"/>
      <c r="E41" s="39"/>
      <c r="F41" s="40"/>
      <c r="G41" s="43"/>
      <c r="H41" s="14"/>
      <c r="I41" s="14"/>
      <c r="J41" s="40"/>
      <c r="K41" s="43"/>
      <c r="L41" s="14"/>
      <c r="M41" s="14"/>
      <c r="N41" s="40"/>
      <c r="O41" s="2">
        <f>+M40-'SEP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+'SEP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August 31, 2022</v>
      </c>
      <c r="C48" s="32"/>
      <c r="D48" s="32"/>
      <c r="E48" s="32"/>
      <c r="F48" s="61"/>
      <c r="G48" s="42"/>
      <c r="H48" s="16"/>
      <c r="I48" s="20">
        <f>+'SEP WKSHT'!H71</f>
        <v>42940560.899999991</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+'SEP WKSHT'!G76</f>
        <v>4861803.91</v>
      </c>
      <c r="I51" s="33"/>
      <c r="J51" s="57"/>
      <c r="K51" s="42"/>
      <c r="L51" s="20">
        <f>+'SEP WKSHT'!J76</f>
        <v>14680365.77</v>
      </c>
      <c r="M51" s="33"/>
      <c r="N51" s="57"/>
    </row>
    <row r="52" spans="1:15">
      <c r="A52" s="30"/>
      <c r="B52" s="31"/>
      <c r="C52" s="31" t="str">
        <f>+JUL!C52</f>
        <v>REVENUE REFUNDS:  PRIOR YEAR</v>
      </c>
      <c r="D52" s="32"/>
      <c r="E52" s="32"/>
      <c r="F52" s="61"/>
      <c r="G52" s="42"/>
      <c r="H52" s="16">
        <f>+'SEP WKSHT'!G77</f>
        <v>0</v>
      </c>
      <c r="I52" s="33"/>
      <c r="J52" s="57"/>
      <c r="K52" s="42"/>
      <c r="L52" s="16">
        <f>+'SEP WKSHT'!J77</f>
        <v>0</v>
      </c>
      <c r="M52" s="33"/>
      <c r="N52" s="57"/>
    </row>
    <row r="53" spans="1:15">
      <c r="A53" s="30"/>
      <c r="B53" s="32"/>
      <c r="C53" s="31" t="str">
        <f>+JUL!C53</f>
        <v>REVENUE REFUNDS:  CURRENT YEAR</v>
      </c>
      <c r="D53" s="32"/>
      <c r="E53" s="32"/>
      <c r="F53" s="61"/>
      <c r="G53" s="42"/>
      <c r="H53" s="16">
        <f>+'SEP WKSHT'!G78</f>
        <v>-1226.83</v>
      </c>
      <c r="I53" s="33"/>
      <c r="J53" s="57"/>
      <c r="K53" s="42"/>
      <c r="L53" s="16">
        <f>+'SEP WKSHT'!J78</f>
        <v>-1346.22</v>
      </c>
      <c r="M53" s="33"/>
      <c r="N53" s="57"/>
    </row>
    <row r="54" spans="1:15">
      <c r="A54" s="30"/>
      <c r="B54" s="31"/>
      <c r="C54" s="31" t="str">
        <f>+JUL!C54</f>
        <v>REFUND OF PRIOR YEAR DISBURSEMENTS</v>
      </c>
      <c r="D54" s="32"/>
      <c r="E54" s="32"/>
      <c r="F54" s="61"/>
      <c r="G54" s="42"/>
      <c r="H54" s="16">
        <f>+'SEP WKSHT'!G79</f>
        <v>0</v>
      </c>
      <c r="I54" s="33"/>
      <c r="J54" s="57"/>
      <c r="K54" s="42"/>
      <c r="L54" s="16">
        <f>+'SEP WKSHT'!J79</f>
        <v>0</v>
      </c>
      <c r="M54" s="33"/>
      <c r="N54" s="57"/>
    </row>
    <row r="55" spans="1:15">
      <c r="A55" s="30"/>
      <c r="B55" s="32"/>
      <c r="C55" s="31" t="str">
        <f>+JUL!C55</f>
        <v>UNHONORED CHECKS</v>
      </c>
      <c r="D55" s="32"/>
      <c r="E55" s="32"/>
      <c r="F55" s="61"/>
      <c r="G55" s="42"/>
      <c r="H55" s="16">
        <f>+'SEP WKSHT'!G80</f>
        <v>0</v>
      </c>
      <c r="I55" s="33"/>
      <c r="J55" s="57"/>
      <c r="K55" s="42"/>
      <c r="L55" s="16">
        <f>+'SEP WKSHT'!J80</f>
        <v>0</v>
      </c>
      <c r="M55" s="33"/>
      <c r="N55" s="57"/>
    </row>
    <row r="56" spans="1:15">
      <c r="A56" s="30"/>
      <c r="B56" s="32"/>
      <c r="C56" s="31" t="str">
        <f>+JUL!C56</f>
        <v>RECEIPT ADJUSTMENTS</v>
      </c>
      <c r="D56" s="32"/>
      <c r="E56" s="32"/>
      <c r="F56" s="61"/>
      <c r="G56" s="42"/>
      <c r="H56" s="11">
        <f>+'SEP WKSHT'!G81</f>
        <v>-210060.01</v>
      </c>
      <c r="I56" s="16">
        <f>SUM(H51:H56)</f>
        <v>4650517.07</v>
      </c>
      <c r="J56" s="35"/>
      <c r="K56" s="42"/>
      <c r="L56" s="11">
        <f>+'SEP WKSHT'!J81</f>
        <v>-332915.39</v>
      </c>
      <c r="M56" s="16">
        <f>SUM(L51:L56)</f>
        <v>14346104.159999998</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+'SEP WKSHT'!H83</f>
        <v>93043.28</v>
      </c>
      <c r="J58" s="35"/>
      <c r="K58" s="42"/>
      <c r="L58" s="16"/>
      <c r="M58" s="16">
        <f>+'SEP WKSHT'!K83</f>
        <v>401930.95000000007</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+'SEP WKSHT'!H85</f>
        <v>0</v>
      </c>
      <c r="J60" s="35"/>
      <c r="K60" s="42"/>
      <c r="L60" s="16"/>
      <c r="M60" s="16">
        <f>+'SEP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+'SEP WKSHT'!H87</f>
        <v>7097430.3900000006</v>
      </c>
      <c r="J62" s="35"/>
      <c r="K62" s="42"/>
      <c r="L62" s="16"/>
      <c r="M62" s="11">
        <f>+'SEP WKSHT'!K87</f>
        <v>12774329.460000001</v>
      </c>
      <c r="N62" s="35"/>
    </row>
    <row r="63" spans="1:15">
      <c r="A63" s="30"/>
      <c r="B63" s="32"/>
      <c r="C63" s="32"/>
      <c r="D63" s="32"/>
      <c r="E63" s="32"/>
      <c r="F63" s="61"/>
      <c r="G63" s="42"/>
      <c r="H63" s="16"/>
      <c r="I63" s="16"/>
      <c r="J63" s="35"/>
      <c r="K63" s="42"/>
      <c r="L63" s="16"/>
      <c r="M63" s="16"/>
      <c r="N63" s="35"/>
      <c r="O63" s="2">
        <f>+I64-'SEP WKSHT'!H89</f>
        <v>0</v>
      </c>
    </row>
    <row r="64" spans="1:15" ht="13.5" thickBot="1">
      <c r="A64" s="30">
        <f>+A38</f>
        <v>0</v>
      </c>
      <c r="B64" s="31" t="str">
        <f>+B40</f>
        <v>CASH BALANCE SEPTEMBER 30, 2023</v>
      </c>
      <c r="C64" s="32"/>
      <c r="D64" s="32"/>
      <c r="E64" s="32"/>
      <c r="F64" s="61"/>
      <c r="G64" s="42"/>
      <c r="H64" s="16"/>
      <c r="I64" s="21">
        <f>+I48+I56+I58+I60-I62</f>
        <v>40586690.859999992</v>
      </c>
      <c r="J64" s="56"/>
      <c r="K64" s="42"/>
      <c r="L64" s="16"/>
      <c r="M64" s="21">
        <f>+M46+M56+M58+M60-M62</f>
        <v>40586690.859999999</v>
      </c>
      <c r="N64" s="56"/>
      <c r="O64" s="2">
        <f>+M64-'SEP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95"/>
  <sheetViews>
    <sheetView topLeftCell="A29" zoomScale="90" zoomScaleNormal="90" workbookViewId="0">
      <selection activeCell="K46" sqref="K46"/>
    </sheetView>
  </sheetViews>
  <sheetFormatPr defaultColWidth="9.140625" defaultRowHeight="12.75"/>
  <cols>
    <col min="1" max="4" width="3.7109375" style="6" customWidth="1"/>
    <col min="5" max="5" width="29.7109375" style="6" customWidth="1"/>
    <col min="6" max="7" width="14.7109375" style="2" customWidth="1"/>
    <col min="8" max="8" width="15.42578125" style="2" bestFit="1" customWidth="1"/>
    <col min="9" max="9" width="1.5703125" style="69" customWidth="1"/>
    <col min="10" max="10" width="14.7109375" style="2" customWidth="1"/>
    <col min="11" max="11" width="16.7109375" style="2" bestFit="1" customWidth="1"/>
    <col min="12" max="12" width="19.7109375" style="2" customWidth="1"/>
    <col min="13" max="13" width="14.7109375" style="2" customWidth="1"/>
    <col min="14" max="14" width="23.28515625" style="2" customWidth="1"/>
    <col min="15" max="15" width="9.140625" style="2"/>
    <col min="16" max="16" width="10.5703125" style="2" bestFit="1" customWidth="1"/>
    <col min="17" max="16384" width="9.140625" style="2"/>
  </cols>
  <sheetData>
    <row r="1" spans="1:12" ht="15">
      <c r="A1" s="58" t="s">
        <v>0</v>
      </c>
      <c r="B1" s="3"/>
      <c r="C1" s="3"/>
      <c r="D1" s="3"/>
      <c r="E1" s="3"/>
      <c r="F1" s="3"/>
      <c r="G1" s="3"/>
      <c r="H1" s="3"/>
      <c r="I1" s="97"/>
      <c r="J1" s="3"/>
      <c r="K1" s="3"/>
    </row>
    <row r="2" spans="1:12" ht="15">
      <c r="A2" s="59" t="s">
        <v>1</v>
      </c>
      <c r="B2" s="3"/>
      <c r="C2" s="3"/>
      <c r="D2" s="3"/>
      <c r="E2" s="3"/>
      <c r="F2" s="3"/>
      <c r="G2" s="3"/>
      <c r="H2" s="3"/>
      <c r="I2" s="97"/>
      <c r="J2" s="3"/>
      <c r="K2" s="3"/>
    </row>
    <row r="3" spans="1:12" ht="15">
      <c r="A3" s="58" t="s">
        <v>2</v>
      </c>
      <c r="B3" s="3"/>
      <c r="C3" s="3"/>
      <c r="D3" s="3"/>
      <c r="E3" s="3"/>
      <c r="F3" s="3"/>
      <c r="G3" s="3"/>
      <c r="H3" s="3"/>
      <c r="I3" s="97"/>
      <c r="J3" s="3"/>
      <c r="K3" s="3"/>
    </row>
    <row r="4" spans="1:12" ht="15">
      <c r="A4" s="137" t="s">
        <v>92</v>
      </c>
      <c r="B4" s="143"/>
      <c r="C4" s="143"/>
      <c r="D4" s="143"/>
      <c r="E4" s="143"/>
      <c r="F4" s="143"/>
      <c r="G4" s="3"/>
      <c r="H4" s="3"/>
      <c r="I4" s="97"/>
      <c r="J4" s="3"/>
      <c r="K4" s="3"/>
    </row>
    <row r="5" spans="1:12" ht="4.9000000000000004" customHeight="1" thickBot="1">
      <c r="A5" s="17"/>
      <c r="B5" s="17"/>
      <c r="C5" s="17"/>
      <c r="D5" s="17"/>
      <c r="E5" s="17"/>
      <c r="F5" s="17"/>
      <c r="G5" s="17"/>
      <c r="H5" s="17"/>
      <c r="I5" s="99"/>
      <c r="J5" s="17"/>
      <c r="K5" s="17"/>
    </row>
    <row r="7" spans="1:12">
      <c r="B7" s="4"/>
      <c r="C7" s="4"/>
      <c r="D7" s="4"/>
      <c r="G7" s="5" t="s">
        <v>3</v>
      </c>
      <c r="H7" s="5"/>
      <c r="I7" s="103"/>
      <c r="J7" s="5" t="s">
        <v>4</v>
      </c>
      <c r="K7" s="76"/>
      <c r="L7" s="64" t="s">
        <v>5</v>
      </c>
    </row>
    <row r="8" spans="1:12">
      <c r="A8" s="9" t="str">
        <f>+'SEP WKSHT'!A8</f>
        <v>DEPARTMENT OF REVENUE SURTAX RECEIPTS COLLECTED (14E6-130-D130-R000-R284, R285, R286)</v>
      </c>
    </row>
    <row r="9" spans="1:12">
      <c r="B9" s="7" t="str">
        <f>+'SEP WKSHT'!B9</f>
        <v>GROSS RECEIPTS (REVENUE DISTRIBUTION)</v>
      </c>
      <c r="C9" s="7"/>
      <c r="E9" s="2"/>
    </row>
    <row r="10" spans="1:12">
      <c r="B10" s="7"/>
      <c r="C10" s="7" t="str">
        <f>+'SEP WKSHT'!C10</f>
        <v>VOLUNTEER FIRE DEPARTMENT AID</v>
      </c>
      <c r="E10" s="2"/>
    </row>
    <row r="11" spans="1:12">
      <c r="D11" s="7" t="str">
        <f>+'SEP WKSHT'!D11</f>
        <v>R284 Volunteer Fire Dept Aid Fund</v>
      </c>
      <c r="E11" s="2"/>
      <c r="H11" s="132">
        <v>2254523.42</v>
      </c>
      <c r="K11" s="74">
        <f>+H11+'SEP WKSHT'!K11</f>
        <v>8949648.6600000001</v>
      </c>
    </row>
    <row r="12" spans="1:12">
      <c r="C12" s="7" t="str">
        <f>+'SEP WKSHT'!C12</f>
        <v>LAW ENFORCEMENT AND FIREFIGHTERS FUND</v>
      </c>
      <c r="E12" s="2"/>
      <c r="G12" s="74"/>
      <c r="J12" s="74"/>
    </row>
    <row r="13" spans="1:12">
      <c r="D13" s="7" t="str">
        <f>+'SEP WKSHT'!D13</f>
        <v>R285 Law Enforcement Fund</v>
      </c>
      <c r="E13" s="2"/>
      <c r="F13" s="74" t="s">
        <v>32</v>
      </c>
      <c r="G13" s="132">
        <v>9169305.4499999993</v>
      </c>
      <c r="J13" s="74">
        <f>+G13+'SEP WKSHT'!J13</f>
        <v>37480612.659999996</v>
      </c>
    </row>
    <row r="14" spans="1:12">
      <c r="D14" s="7" t="str">
        <f>+'SEP WKSHT'!D14</f>
        <v>R286 Firefighters Fund</v>
      </c>
      <c r="E14" s="2"/>
      <c r="G14" s="130">
        <v>2586214.38</v>
      </c>
      <c r="H14" s="11">
        <f>SUM(G13:G14)</f>
        <v>11755519.829999998</v>
      </c>
      <c r="I14" s="108"/>
      <c r="J14" s="11">
        <f>+G14+'SEP WKSHT'!J14</f>
        <v>10571454.91</v>
      </c>
      <c r="K14" s="11">
        <f>SUM(J13:J14)</f>
        <v>48052067.569999993</v>
      </c>
    </row>
    <row r="15" spans="1:12">
      <c r="E15" s="2"/>
      <c r="G15" s="65"/>
      <c r="H15" s="74">
        <f>SUM(H11:H14)</f>
        <v>14010043.249999998</v>
      </c>
      <c r="I15" s="108"/>
      <c r="J15" s="16"/>
      <c r="K15" s="74">
        <f>SUM(K11:K14)</f>
        <v>57001716.229999989</v>
      </c>
      <c r="L15" s="277">
        <f>+J51+J76-K15</f>
        <v>-1380676.5399999917</v>
      </c>
    </row>
    <row r="16" spans="1:12">
      <c r="E16" s="2"/>
      <c r="G16" s="65"/>
      <c r="H16" s="74"/>
      <c r="I16" s="108"/>
      <c r="J16" s="16"/>
      <c r="K16" s="74"/>
      <c r="L16" s="16"/>
    </row>
    <row r="17" spans="2:12">
      <c r="B17" s="7" t="str">
        <f>+'SEP WKSHT'!B17</f>
        <v>OTHER DISTRIBUTIONS (review JVs other than Revenue Distribution)</v>
      </c>
      <c r="E17" s="2"/>
      <c r="G17" s="19"/>
      <c r="H17" s="74"/>
      <c r="I17" s="108"/>
      <c r="K17" s="74"/>
      <c r="L17" s="16"/>
    </row>
    <row r="18" spans="2:12">
      <c r="B18" s="2"/>
      <c r="C18" s="7" t="str">
        <f>+'SEP WKSHT'!C18</f>
        <v>REVENUE REFUNDS</v>
      </c>
      <c r="D18" s="7"/>
      <c r="E18" s="2"/>
      <c r="L18" s="16"/>
    </row>
    <row r="19" spans="2:12">
      <c r="B19" s="2"/>
      <c r="C19" s="7"/>
      <c r="D19" s="7" t="str">
        <f>+'SEP WKSHT'!D19</f>
        <v>R284</v>
      </c>
      <c r="E19" s="2"/>
      <c r="G19" s="131">
        <v>0</v>
      </c>
      <c r="J19" s="74">
        <f>+G19+'SEP WKSHT'!J19</f>
        <v>0</v>
      </c>
      <c r="L19" s="16"/>
    </row>
    <row r="20" spans="2:12">
      <c r="B20" s="2"/>
      <c r="C20" s="7"/>
      <c r="D20" s="7" t="str">
        <f>+'SEP WKSHT'!D20</f>
        <v>R285</v>
      </c>
      <c r="E20" s="2"/>
      <c r="G20" s="133">
        <v>-2030.52</v>
      </c>
      <c r="J20" s="2">
        <f>+G20+'SEP WKSHT'!J20</f>
        <v>-7070.2200000000012</v>
      </c>
      <c r="L20" s="16"/>
    </row>
    <row r="21" spans="2:12">
      <c r="B21" s="2"/>
      <c r="C21" s="7"/>
      <c r="D21" s="7" t="str">
        <f>+'SEP WKSHT'!D21</f>
        <v>R286</v>
      </c>
      <c r="E21" s="2"/>
      <c r="F21" s="69"/>
      <c r="G21" s="130">
        <v>-572.70000000000005</v>
      </c>
      <c r="H21" s="2">
        <f>SUM(G19:G21)</f>
        <v>-2603.2200000000003</v>
      </c>
      <c r="J21" s="11">
        <f>+G21+'SEP WKSHT'!J21</f>
        <v>-1994.15</v>
      </c>
      <c r="K21" s="2">
        <f>SUM(J19:J21)</f>
        <v>-9064.3700000000008</v>
      </c>
      <c r="L21" s="2">
        <f>+J52+J53+J77+J78-K21</f>
        <v>2603.2200000000003</v>
      </c>
    </row>
    <row r="22" spans="2:12">
      <c r="B22" s="2"/>
      <c r="C22" s="7" t="str">
        <f>+'SEP WKSHT'!C22</f>
        <v>UNHONORED CHECKS</v>
      </c>
      <c r="E22" s="2"/>
    </row>
    <row r="23" spans="2:12">
      <c r="B23" s="2"/>
      <c r="D23" s="7" t="str">
        <f>+'SEP WKSHT'!D23</f>
        <v>R284</v>
      </c>
      <c r="E23" s="2"/>
      <c r="G23" s="131"/>
      <c r="J23" s="74">
        <f>+G23+'SEP WKSHT'!J23</f>
        <v>0</v>
      </c>
    </row>
    <row r="24" spans="2:12">
      <c r="B24" s="2"/>
      <c r="D24" s="7" t="str">
        <f>+'SEP WKSHT'!D24</f>
        <v>R285</v>
      </c>
      <c r="E24" s="2"/>
      <c r="G24" s="133"/>
      <c r="J24" s="2">
        <f>+G24+'SEP WKSHT'!J24</f>
        <v>0</v>
      </c>
    </row>
    <row r="25" spans="2:12">
      <c r="B25" s="2"/>
      <c r="D25" s="7" t="str">
        <f>+'SEP WKSHT'!D25</f>
        <v>R286</v>
      </c>
      <c r="E25" s="2"/>
      <c r="G25" s="130"/>
      <c r="H25" s="2">
        <f>SUM(G23:G25)</f>
        <v>0</v>
      </c>
      <c r="J25" s="11">
        <f>+G25+'SEP WKSHT'!J25</f>
        <v>0</v>
      </c>
      <c r="K25" s="2">
        <f>SUM(J23:J25)</f>
        <v>0</v>
      </c>
      <c r="L25" s="2">
        <f>+J55+J80-K25</f>
        <v>0</v>
      </c>
    </row>
    <row r="26" spans="2:12">
      <c r="B26" s="2"/>
      <c r="C26" s="7" t="str">
        <f>+'SEP WKSHT'!C26</f>
        <v>RECEIPT ADJUSTMENTS</v>
      </c>
      <c r="E26" s="2"/>
      <c r="H26" s="8"/>
      <c r="I26" s="112"/>
    </row>
    <row r="27" spans="2:12" ht="15.75">
      <c r="B27" s="2"/>
      <c r="D27" s="7" t="str">
        <f>+'SEP WKSHT'!D27</f>
        <v>R284</v>
      </c>
      <c r="E27" s="2"/>
      <c r="F27" s="162"/>
      <c r="G27" s="174">
        <v>-710.09</v>
      </c>
      <c r="J27" s="74">
        <f>+G27+'SEP WKSHT'!J27</f>
        <v>-439644.95</v>
      </c>
    </row>
    <row r="28" spans="2:12" ht="15.75">
      <c r="B28" s="2"/>
      <c r="D28" s="7" t="str">
        <f>+'SEP WKSHT'!D28</f>
        <v>R285</v>
      </c>
      <c r="E28" s="2"/>
      <c r="F28" s="234"/>
      <c r="G28" s="133">
        <v>-85184.1</v>
      </c>
      <c r="J28" s="2">
        <f>+G28+'SEP WKSHT'!J28</f>
        <v>290703.14</v>
      </c>
    </row>
    <row r="29" spans="2:12" ht="15.75">
      <c r="B29" s="2"/>
      <c r="D29" s="7" t="str">
        <f>+'SEP WKSHT'!D29</f>
        <v>R286</v>
      </c>
      <c r="E29" s="2"/>
      <c r="F29" s="162"/>
      <c r="G29" s="182">
        <v>-24026.29</v>
      </c>
      <c r="H29" s="11">
        <f>SUM(G27:G29)</f>
        <v>-109920.48000000001</v>
      </c>
      <c r="J29" s="11">
        <f>+G29+'SEP WKSHT'!J29</f>
        <v>81993.179999999993</v>
      </c>
      <c r="K29" s="11">
        <f>SUM(J27:J29)</f>
        <v>-66948.63</v>
      </c>
      <c r="L29" s="69">
        <f>+J56+J81-K29</f>
        <v>710.09000000002561</v>
      </c>
    </row>
    <row r="30" spans="2:12" ht="13.5" thickBot="1">
      <c r="B30" s="2"/>
      <c r="D30" s="7" t="str">
        <f>+'SEP WKSHT'!D30</f>
        <v>NET RECEIPTS TO BE DISTRIBUTED</v>
      </c>
      <c r="E30" s="2"/>
      <c r="H30" s="78">
        <f>SUM(H15:H29)</f>
        <v>13897519.549999997</v>
      </c>
      <c r="I30" s="109"/>
      <c r="K30" s="78">
        <f>SUM(K15:K29)</f>
        <v>56925703.229999989</v>
      </c>
      <c r="L30" s="8"/>
    </row>
    <row r="32" spans="2:12">
      <c r="B32" s="7" t="str">
        <f>+'SEP WKSHT'!B32</f>
        <v>TOTAL</v>
      </c>
      <c r="D32" s="2"/>
    </row>
    <row r="33" spans="1:12">
      <c r="C33" s="7" t="str">
        <f>+'SEP WKSHT'!C33</f>
        <v>R284</v>
      </c>
      <c r="D33" s="2"/>
      <c r="G33" s="74">
        <f>+G27+G23+G19+H11</f>
        <v>2253813.33</v>
      </c>
      <c r="J33" s="74">
        <f>+J27+J23+J19+K11</f>
        <v>8510003.7100000009</v>
      </c>
    </row>
    <row r="34" spans="1:12">
      <c r="C34" s="7" t="str">
        <f>+'SEP WKSHT'!C34</f>
        <v>R285</v>
      </c>
      <c r="D34" s="2"/>
      <c r="G34" s="2">
        <f>+G28+G24+G20+G13</f>
        <v>9082090.8300000001</v>
      </c>
      <c r="J34" s="2">
        <f>+J28+J24+J20+J13</f>
        <v>37764245.579999998</v>
      </c>
    </row>
    <row r="35" spans="1:12">
      <c r="C35" s="7" t="str">
        <f>+'SEP WKSHT'!C35</f>
        <v>R286</v>
      </c>
      <c r="D35" s="2"/>
      <c r="G35" s="11">
        <f>+G29+G25+G21+G14</f>
        <v>2561615.3899999997</v>
      </c>
      <c r="H35" s="74">
        <f>SUM(G33:G35)</f>
        <v>13897519.550000001</v>
      </c>
      <c r="J35" s="16">
        <f>+J29+J25+J21+J14</f>
        <v>10651453.939999999</v>
      </c>
      <c r="K35" s="74">
        <f>SUM(J33:J35)</f>
        <v>56925703.229999997</v>
      </c>
    </row>
    <row r="36" spans="1:12">
      <c r="J36" s="16"/>
      <c r="K36" s="16"/>
      <c r="L36" s="16"/>
    </row>
    <row r="37" spans="1:12" ht="12.75" customHeight="1">
      <c r="C37" s="259" t="s">
        <v>60</v>
      </c>
      <c r="D37" s="212"/>
      <c r="E37" s="212"/>
      <c r="F37" s="212"/>
      <c r="G37" s="401" t="s">
        <v>94</v>
      </c>
      <c r="H37" s="401"/>
      <c r="J37" s="217"/>
      <c r="K37" s="217"/>
      <c r="L37" s="217"/>
    </row>
    <row r="38" spans="1:12">
      <c r="C38" s="212"/>
      <c r="D38" s="227"/>
      <c r="E38" s="212" t="s">
        <v>59</v>
      </c>
      <c r="F38" s="212"/>
      <c r="G38" s="212"/>
      <c r="H38" s="165">
        <f>SUM(G39:G41)</f>
        <v>2603.2200000000003</v>
      </c>
      <c r="J38" s="217"/>
      <c r="K38" s="217"/>
      <c r="L38" s="217"/>
    </row>
    <row r="39" spans="1:12">
      <c r="C39" s="212"/>
      <c r="D39" s="212"/>
      <c r="E39" s="227" t="s">
        <v>66</v>
      </c>
      <c r="F39" s="227"/>
      <c r="G39" s="165">
        <f>-G19</f>
        <v>0</v>
      </c>
      <c r="H39" s="212"/>
      <c r="J39" s="217"/>
      <c r="K39" s="217"/>
      <c r="L39" s="217"/>
    </row>
    <row r="40" spans="1:12">
      <c r="C40" s="212"/>
      <c r="D40" s="212"/>
      <c r="E40" s="227" t="s">
        <v>65</v>
      </c>
      <c r="F40" s="227"/>
      <c r="G40" s="165">
        <f>-G20</f>
        <v>2030.52</v>
      </c>
      <c r="H40" s="212"/>
      <c r="J40" s="217"/>
      <c r="K40" s="217"/>
      <c r="L40" s="217"/>
    </row>
    <row r="41" spans="1:12">
      <c r="C41" s="212"/>
      <c r="D41" s="212"/>
      <c r="E41" s="227" t="s">
        <v>66</v>
      </c>
      <c r="F41" s="212"/>
      <c r="G41" s="212">
        <f>-G21</f>
        <v>572.70000000000005</v>
      </c>
      <c r="H41" s="212"/>
      <c r="J41" s="217"/>
      <c r="K41" s="217"/>
      <c r="L41" s="217"/>
    </row>
    <row r="42" spans="1:12" ht="15" customHeight="1">
      <c r="C42" s="259" t="s">
        <v>72</v>
      </c>
      <c r="D42" s="212"/>
      <c r="E42" s="227"/>
      <c r="F42" s="274"/>
      <c r="G42" s="401"/>
      <c r="H42" s="401"/>
      <c r="J42" s="217"/>
      <c r="K42" s="217"/>
      <c r="L42" s="217"/>
    </row>
    <row r="43" spans="1:12">
      <c r="C43" s="212"/>
      <c r="D43" s="212"/>
      <c r="E43" s="227"/>
      <c r="F43" s="164"/>
      <c r="G43" s="164"/>
      <c r="H43" s="212"/>
      <c r="J43" s="217"/>
      <c r="K43" s="217"/>
      <c r="L43" s="217"/>
    </row>
    <row r="44" spans="1:12" s="69" customFormat="1">
      <c r="A44" s="100"/>
      <c r="B44" s="100"/>
      <c r="C44" s="172"/>
      <c r="D44" s="172"/>
      <c r="E44" s="179"/>
      <c r="F44" s="172"/>
      <c r="G44" s="172"/>
      <c r="J44" s="217"/>
      <c r="K44" s="217"/>
      <c r="L44" s="217"/>
    </row>
    <row r="45" spans="1:12">
      <c r="A45" s="70" t="str">
        <f>+'SEP WKSHT'!A45</f>
        <v>LAW ENFORCEMENT FOUNDATION FUND (13DB-525-0000)</v>
      </c>
      <c r="J45" s="16"/>
      <c r="K45" s="16"/>
      <c r="L45" s="16"/>
    </row>
    <row r="46" spans="1:12">
      <c r="A46" s="9"/>
      <c r="B46" s="7" t="str">
        <f>+'SEP WKSHT'!B46</f>
        <v>BALANCE FORWARDED FROM FISCAL YEAR 2023</v>
      </c>
      <c r="K46" s="74">
        <f>+'SEP WKSHT'!K46</f>
        <v>73871638.640000001</v>
      </c>
    </row>
    <row r="47" spans="1:12">
      <c r="A47" s="9"/>
      <c r="K47" s="74"/>
    </row>
    <row r="48" spans="1:12">
      <c r="B48" s="10" t="str">
        <f>+'SEP WKSHT'!B66</f>
        <v>CASH BALANCE SEPTEMBER 30, 2023</v>
      </c>
      <c r="H48" s="108">
        <f>+'SEP WKSHT'!H66</f>
        <v>82204368.420000002</v>
      </c>
      <c r="I48" s="108"/>
      <c r="L48" s="243"/>
    </row>
    <row r="49" spans="2:12">
      <c r="B49" s="7"/>
      <c r="H49" s="74"/>
      <c r="I49" s="108"/>
      <c r="L49" s="243"/>
    </row>
    <row r="50" spans="2:12">
      <c r="B50" s="7" t="str">
        <f>+'SEP WKSHT'!B50</f>
        <v>REVENUE DISTRIBUTION INCOME (REVENUE DETAIL WORKSHEET):</v>
      </c>
      <c r="H50" s="67" t="s">
        <v>63</v>
      </c>
      <c r="K50" s="67" t="s">
        <v>63</v>
      </c>
      <c r="L50" s="243"/>
    </row>
    <row r="51" spans="2:12" ht="15.75">
      <c r="C51" s="7" t="str">
        <f>+'SEP WKSHT'!C51</f>
        <v>REVENUE DISTRIBUTION (N114)</v>
      </c>
      <c r="F51" s="161"/>
      <c r="G51" s="132">
        <v>8092377.7599999998</v>
      </c>
      <c r="H51" s="66">
        <f>+H14*0.78</f>
        <v>9169305.4673999995</v>
      </c>
      <c r="J51" s="74">
        <f>+G51+'SEP WKSHT'!J51</f>
        <v>36403684.969999999</v>
      </c>
      <c r="K51" s="66">
        <f>+K14*0.78</f>
        <v>37480612.704599999</v>
      </c>
      <c r="L51" s="151"/>
    </row>
    <row r="52" spans="2:12">
      <c r="C52" s="7" t="str">
        <f>+'SEP WKSHT'!C52</f>
        <v>REVENUE REFUNDS:  PRIOR YEAR</v>
      </c>
      <c r="G52" s="133"/>
      <c r="J52" s="2">
        <f>+G52+'SEP WKSHT'!J52</f>
        <v>0</v>
      </c>
      <c r="L52" s="110"/>
    </row>
    <row r="53" spans="2:12">
      <c r="C53" s="7" t="str">
        <f>+'SEP WKSHT'!C53</f>
        <v>REVENUE REFUNDS:  CURRENT YEAR</v>
      </c>
      <c r="G53" s="133">
        <v>-266.72000000000003</v>
      </c>
      <c r="J53" s="2">
        <f>+G53+'SEP WKSHT'!J53</f>
        <v>-5039.7000000000007</v>
      </c>
      <c r="L53" s="110"/>
    </row>
    <row r="54" spans="2:12">
      <c r="C54" s="7" t="str">
        <f>+'SEP WKSHT'!C54</f>
        <v>REFUND OF PRIOR YEAR DISBURSEMENTS (R881)</v>
      </c>
      <c r="G54" s="133"/>
      <c r="J54" s="2">
        <f>+G54+'SEP WKSHT'!J54</f>
        <v>0</v>
      </c>
    </row>
    <row r="55" spans="2:12">
      <c r="C55" s="7" t="str">
        <f>+'SEP WKSHT'!C55</f>
        <v>UNHONORED CHECKS</v>
      </c>
      <c r="G55" s="133"/>
      <c r="J55" s="2">
        <f>+G55+'SEP WKSHT'!J55</f>
        <v>0</v>
      </c>
    </row>
    <row r="56" spans="2:12">
      <c r="C56" s="7" t="str">
        <f>+'SEP WKSHT'!C56</f>
        <v>RECEIPT ADJUSTMENTS</v>
      </c>
      <c r="G56" s="130">
        <v>-85184.1</v>
      </c>
      <c r="H56" s="2">
        <f>SUM(G51:G56)</f>
        <v>8006926.9400000004</v>
      </c>
      <c r="J56" s="11">
        <f>+G56+'SEP WKSHT'!J56</f>
        <v>290703.14</v>
      </c>
      <c r="K56" s="2">
        <f>SUM(J51:J56)</f>
        <v>36689348.409999996</v>
      </c>
    </row>
    <row r="58" spans="2:12">
      <c r="B58" s="7" t="str">
        <f>+'SEP WKSHT'!B58</f>
        <v>INVESTMENT INCOME (R771)</v>
      </c>
      <c r="C58" s="2"/>
      <c r="H58" s="130">
        <v>332414.5</v>
      </c>
      <c r="K58" s="2">
        <f>+H58+'SEP WKSHT'!K58</f>
        <v>1268464.0900000001</v>
      </c>
    </row>
    <row r="59" spans="2:12">
      <c r="L59" s="147" t="s">
        <v>50</v>
      </c>
    </row>
    <row r="60" spans="2:12">
      <c r="B60" s="7" t="str">
        <f>+'SEP WKSHT'!B60</f>
        <v>OTHER REVENUE</v>
      </c>
      <c r="H60" s="133">
        <v>6110.11</v>
      </c>
      <c r="K60" s="2">
        <f>+H60+'SEP WKSHT'!K60</f>
        <v>6110.11</v>
      </c>
      <c r="L60" s="148">
        <f>1224352.98+'SEP WKSHT'!L60</f>
        <v>9414627.1300000008</v>
      </c>
    </row>
    <row r="61" spans="2:12">
      <c r="L61" s="141" t="s">
        <v>54</v>
      </c>
    </row>
    <row r="62" spans="2:12">
      <c r="B62" s="7" t="str">
        <f>+'SEP WKSHT'!B62</f>
        <v>EXPENDITURES (LAW ENFORCEMENT SUMMARY)</v>
      </c>
      <c r="H62" s="151"/>
      <c r="I62" s="110"/>
      <c r="J62" s="110"/>
      <c r="K62" s="110"/>
      <c r="L62" s="141">
        <f>+K46</f>
        <v>73871638.640000001</v>
      </c>
    </row>
    <row r="63" spans="2:12">
      <c r="B63" s="7"/>
      <c r="C63" s="6" t="str">
        <f>+'AUG WKSHT'!C63</f>
        <v>CASH EXPENDITURES</v>
      </c>
      <c r="H63" s="8"/>
      <c r="I63" s="112"/>
      <c r="J63" s="219">
        <v>28549295.48</v>
      </c>
      <c r="K63" s="8"/>
      <c r="L63" s="141" t="s">
        <v>55</v>
      </c>
    </row>
    <row r="64" spans="2:12">
      <c r="B64" s="7"/>
      <c r="C64" s="6" t="str">
        <f>+'AUG WKSHT'!C64</f>
        <v>ACCRUED EXPENDITURES</v>
      </c>
      <c r="H64" s="77">
        <f>+K64-'SEP WKSHT'!K64</f>
        <v>7121098.5700000003</v>
      </c>
      <c r="I64" s="112"/>
      <c r="J64" s="175">
        <v>-142455.63</v>
      </c>
      <c r="K64" s="152">
        <f>SUM(J63:J64)</f>
        <v>28406839.850000001</v>
      </c>
      <c r="L64" s="141">
        <f>+J64</f>
        <v>-142455.63</v>
      </c>
    </row>
    <row r="65" spans="1:13">
      <c r="L65" s="141" t="s">
        <v>53</v>
      </c>
      <c r="M65" s="177" t="s">
        <v>70</v>
      </c>
    </row>
    <row r="66" spans="1:13" ht="13.5" thickBot="1">
      <c r="B66" s="135" t="s">
        <v>93</v>
      </c>
      <c r="C66" s="144"/>
      <c r="D66" s="144"/>
      <c r="E66" s="144"/>
      <c r="H66" s="79">
        <f>+H48+H56+H58+H60-H64</f>
        <v>83428721.400000006</v>
      </c>
      <c r="K66" s="79">
        <f>+K46+K56+K58+K60-K64</f>
        <v>83428721.400000006</v>
      </c>
      <c r="L66" s="140">
        <f>+L60+L62-L64</f>
        <v>83428721.399999991</v>
      </c>
      <c r="M66" s="8">
        <f>L66-K66</f>
        <v>0</v>
      </c>
    </row>
    <row r="67" spans="1:13">
      <c r="L67" s="36"/>
      <c r="M67" s="8"/>
    </row>
    <row r="68" spans="1:13">
      <c r="A68" s="70" t="str">
        <f>+'SEP WKSHT'!A68</f>
        <v>FIREFIGHTERS FOUNDATION FUND (1341-470-UNIT-PK00)</v>
      </c>
      <c r="L68" s="16"/>
      <c r="M68" s="8"/>
    </row>
    <row r="69" spans="1:13">
      <c r="A69" s="7"/>
      <c r="B69" s="6" t="str">
        <f>+B46</f>
        <v>BALANCE FORWARDED FROM FISCAL YEAR 2023</v>
      </c>
      <c r="K69" s="74">
        <f>+'SEP WKSHT'!K69</f>
        <v>38612985.210000001</v>
      </c>
      <c r="L69" s="16"/>
      <c r="M69" s="8"/>
    </row>
    <row r="70" spans="1:13">
      <c r="A70" s="9"/>
      <c r="K70" s="74"/>
      <c r="L70" s="16"/>
      <c r="M70" s="8"/>
    </row>
    <row r="71" spans="1:13">
      <c r="B71" s="7" t="str">
        <f>+B48</f>
        <v>CASH BALANCE SEPTEMBER 30, 2023</v>
      </c>
      <c r="H71" s="108">
        <f>+'SEP WKSHT'!H89</f>
        <v>40586690.859999992</v>
      </c>
      <c r="I71" s="108"/>
      <c r="M71" s="8"/>
    </row>
    <row r="72" spans="1:13">
      <c r="B72" s="7"/>
      <c r="H72" s="74"/>
      <c r="I72" s="108"/>
      <c r="M72" s="8"/>
    </row>
    <row r="73" spans="1:13">
      <c r="B73" s="10" t="str">
        <f>+B50</f>
        <v>REVENUE DISTRIBUTION INCOME (REVENUE DETAIL WORKSHEET):</v>
      </c>
      <c r="M73" s="8"/>
    </row>
    <row r="74" spans="1:13">
      <c r="C74" s="7" t="str">
        <f>+C51</f>
        <v>REVENUE DISTRIBUTION (N114)</v>
      </c>
      <c r="F74" s="69"/>
      <c r="H74" s="67" t="s">
        <v>64</v>
      </c>
      <c r="K74" s="67"/>
      <c r="M74" s="8"/>
    </row>
    <row r="75" spans="1:13">
      <c r="C75" s="7"/>
      <c r="D75" s="7" t="str">
        <f>+'SEP WKSHT'!D75</f>
        <v>FIREFIGHTERS FUND</v>
      </c>
      <c r="F75" s="132">
        <v>2282465.5299999998</v>
      </c>
      <c r="G75" s="74"/>
      <c r="H75" s="66">
        <f>+H14*0.22</f>
        <v>2586214.3625999996</v>
      </c>
      <c r="J75" s="74"/>
      <c r="K75" s="66"/>
      <c r="L75" s="138" t="s">
        <v>43</v>
      </c>
      <c r="M75" s="8"/>
    </row>
    <row r="76" spans="1:13">
      <c r="C76" s="7"/>
      <c r="D76" s="7" t="str">
        <f>+'SEP WKSHT'!D76</f>
        <v>VOLUNTEER FIRE DEPT AID</v>
      </c>
      <c r="F76" s="130">
        <v>2254523.42</v>
      </c>
      <c r="G76" s="74">
        <f>SUM(F75:F76)</f>
        <v>4536988.9499999993</v>
      </c>
      <c r="J76" s="74">
        <f>+G76+'SEP WKSHT'!J76</f>
        <v>19217354.719999999</v>
      </c>
      <c r="L76" s="141">
        <f>+K11+J14</f>
        <v>19521103.57</v>
      </c>
      <c r="M76" s="8"/>
    </row>
    <row r="77" spans="1:13">
      <c r="C77" s="7" t="str">
        <f>+C52</f>
        <v>REVENUE REFUNDS:  PRIOR YEAR</v>
      </c>
      <c r="G77" s="133"/>
      <c r="J77" s="2">
        <f>+G77+'SEP WKSHT'!J77</f>
        <v>0</v>
      </c>
      <c r="L77" s="139" t="s">
        <v>44</v>
      </c>
      <c r="M77" s="8"/>
    </row>
    <row r="78" spans="1:13">
      <c r="C78" s="6" t="str">
        <f>+C53</f>
        <v>REVENUE REFUNDS:  CURRENT YEAR</v>
      </c>
      <c r="G78" s="133">
        <v>-75.23</v>
      </c>
      <c r="J78" s="2">
        <f>+G78+'SEP WKSHT'!J78</f>
        <v>-1421.45</v>
      </c>
      <c r="L78" s="168">
        <f>+J76-L76</f>
        <v>-303748.85000000149</v>
      </c>
      <c r="M78" s="8"/>
    </row>
    <row r="79" spans="1:13">
      <c r="C79" s="7" t="str">
        <f>+C54</f>
        <v>REFUND OF PRIOR YEAR DISBURSEMENTS (R881)</v>
      </c>
      <c r="G79" s="133"/>
      <c r="J79" s="2">
        <f>+G79+'SEP WKSHT'!J79</f>
        <v>0</v>
      </c>
      <c r="M79" s="8"/>
    </row>
    <row r="80" spans="1:13">
      <c r="C80" s="6" t="str">
        <f>+C55</f>
        <v>UNHONORED CHECKS</v>
      </c>
      <c r="F80" s="2" t="s">
        <v>32</v>
      </c>
      <c r="G80" s="133"/>
      <c r="J80" s="2">
        <f>+G80+'SEP WKSHT'!J80</f>
        <v>0</v>
      </c>
      <c r="M80" s="8"/>
    </row>
    <row r="81" spans="1:16">
      <c r="C81" s="6" t="str">
        <f>+C56</f>
        <v>RECEIPT ADJUSTMENTS</v>
      </c>
      <c r="G81" s="205">
        <v>-24026.29</v>
      </c>
      <c r="H81" s="2">
        <f>SUM(G75:G81)</f>
        <v>4512887.4299999988</v>
      </c>
      <c r="J81" s="11">
        <f>+G81+'SEP WKSHT'!J81</f>
        <v>-356941.68</v>
      </c>
      <c r="K81" s="2">
        <f>SUM(J76:J81)</f>
        <v>18858991.59</v>
      </c>
      <c r="M81" s="8"/>
    </row>
    <row r="82" spans="1:16">
      <c r="M82" s="8"/>
    </row>
    <row r="83" spans="1:16">
      <c r="B83" s="7" t="str">
        <f>+B58</f>
        <v>INVESTMENT INCOME (R771)</v>
      </c>
      <c r="C83" s="2"/>
      <c r="H83" s="133">
        <v>154181.59</v>
      </c>
      <c r="K83" s="2">
        <f>+H83+'SEP WKSHT'!K83</f>
        <v>556112.54</v>
      </c>
      <c r="M83" s="8"/>
    </row>
    <row r="84" spans="1:16">
      <c r="L84" s="147" t="s">
        <v>50</v>
      </c>
      <c r="M84" s="8"/>
    </row>
    <row r="85" spans="1:16">
      <c r="B85" s="7" t="str">
        <f>+B60</f>
        <v>OTHER REVENUE</v>
      </c>
      <c r="C85" s="2"/>
      <c r="H85" s="133"/>
      <c r="K85" s="2">
        <f>+H85+'SEP WKSHT'!K85</f>
        <v>0</v>
      </c>
      <c r="L85" s="148">
        <f>-330557.33+'SEP WKSHT'!L85</f>
        <v>1643148.3200000003</v>
      </c>
      <c r="M85" s="8"/>
    </row>
    <row r="86" spans="1:16">
      <c r="L86" s="141" t="s">
        <v>54</v>
      </c>
      <c r="M86" s="8"/>
      <c r="N86" s="69"/>
      <c r="O86" s="69"/>
      <c r="P86" s="69"/>
    </row>
    <row r="87" spans="1:16">
      <c r="B87" s="7" t="str">
        <f>+'SEP WKSHT'!B87</f>
        <v>EXPENDITURES (FIREFIGHTERS SUMMARY)</v>
      </c>
      <c r="H87" s="77">
        <f>+K87-'SEP WKSHT'!K87</f>
        <v>4997626.3499999978</v>
      </c>
      <c r="K87" s="130">
        <v>17771955.809999999</v>
      </c>
      <c r="L87" s="141">
        <f>+K69</f>
        <v>38612985.210000001</v>
      </c>
      <c r="M87" s="8"/>
      <c r="N87" s="69"/>
      <c r="O87" s="69"/>
      <c r="P87" s="69"/>
    </row>
    <row r="88" spans="1:16">
      <c r="L88" s="141" t="s">
        <v>53</v>
      </c>
      <c r="M88" s="177" t="s">
        <v>70</v>
      </c>
      <c r="N88" s="69"/>
      <c r="O88" s="69"/>
      <c r="P88" s="69"/>
    </row>
    <row r="89" spans="1:16" ht="13.5" thickBot="1">
      <c r="B89" s="247" t="str">
        <f>+B66</f>
        <v>CASH BALANCE OCTOBER 31, 2023</v>
      </c>
      <c r="C89" s="247"/>
      <c r="D89" s="247"/>
      <c r="E89" s="247"/>
      <c r="H89" s="79">
        <f>+H71+H81+H83+H85-H87</f>
        <v>40256133.530000001</v>
      </c>
      <c r="K89" s="79">
        <f>+K69+K81+K83+K85-K87</f>
        <v>40256133.530000001</v>
      </c>
      <c r="L89" s="140">
        <f>+L85+L87</f>
        <v>40256133.530000001</v>
      </c>
      <c r="M89" s="8">
        <f>L89-K89</f>
        <v>0</v>
      </c>
      <c r="N89" s="69"/>
      <c r="O89" s="69"/>
      <c r="P89" s="69"/>
    </row>
    <row r="90" spans="1:16">
      <c r="M90" s="69"/>
      <c r="N90" s="69"/>
      <c r="O90" s="69"/>
      <c r="P90" s="69"/>
    </row>
    <row r="92" spans="1:16">
      <c r="A92" s="6" t="s">
        <v>69</v>
      </c>
      <c r="B92" s="83"/>
      <c r="C92" s="83"/>
      <c r="D92" s="83"/>
      <c r="E92" s="83"/>
      <c r="F92" s="209"/>
      <c r="G92" s="209"/>
      <c r="H92" s="209"/>
      <c r="I92" s="120"/>
      <c r="J92" s="209"/>
      <c r="K92" s="209"/>
      <c r="L92" s="209"/>
      <c r="M92" s="209"/>
    </row>
    <row r="93" spans="1:16" ht="12.75" customHeight="1">
      <c r="A93" s="159"/>
      <c r="B93" s="121"/>
      <c r="C93" s="307"/>
      <c r="D93" s="308"/>
      <c r="E93" s="402" t="s">
        <v>95</v>
      </c>
      <c r="F93" s="402"/>
      <c r="G93" s="402"/>
      <c r="H93" s="402"/>
      <c r="I93" s="402"/>
      <c r="J93" s="402"/>
      <c r="K93" s="402"/>
      <c r="L93" s="402"/>
      <c r="M93" s="308"/>
    </row>
    <row r="94" spans="1:16">
      <c r="A94" s="159"/>
      <c r="B94" s="100"/>
      <c r="C94" s="308"/>
      <c r="D94" s="308"/>
      <c r="E94" s="402"/>
      <c r="F94" s="402"/>
      <c r="G94" s="402"/>
      <c r="H94" s="402"/>
      <c r="I94" s="402"/>
      <c r="J94" s="402"/>
      <c r="K94" s="402"/>
      <c r="L94" s="402"/>
      <c r="M94" s="308"/>
    </row>
    <row r="95" spans="1:16">
      <c r="A95" s="100"/>
      <c r="B95" s="100"/>
      <c r="C95" s="100"/>
      <c r="D95" s="100"/>
      <c r="E95" s="100"/>
      <c r="F95" s="69"/>
      <c r="G95" s="69"/>
      <c r="H95" s="69"/>
      <c r="J95" s="69"/>
      <c r="K95" s="69"/>
      <c r="L95" s="69"/>
      <c r="M95" s="69"/>
    </row>
  </sheetData>
  <mergeCells count="3">
    <mergeCell ref="G42:H42"/>
    <mergeCell ref="G37:H37"/>
    <mergeCell ref="E93:L94"/>
  </mergeCells>
  <phoneticPr fontId="12" type="noConversion"/>
  <printOptions horizontalCentered="1" verticalCentered="1"/>
  <pageMargins left="0" right="0" top="0" bottom="0" header="0" footer="0"/>
  <pageSetup scale="60" orientation="portrait" r:id="rId1"/>
  <headerFooter alignWithMargins="0">
    <oddHeader>&amp;R&amp;F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topLeftCell="A55" workbookViewId="0">
      <selection activeCell="P25" sqref="P25"/>
    </sheetView>
  </sheetViews>
  <sheetFormatPr defaultColWidth="9.140625" defaultRowHeight="12.75"/>
  <cols>
    <col min="1" max="1" width="1.7109375" style="6" customWidth="1"/>
    <col min="2" max="4" width="3.7109375" style="6" customWidth="1"/>
    <col min="5" max="5" width="29.7109375" style="6" customWidth="1"/>
    <col min="6" max="6" width="14.7109375" style="2" customWidth="1"/>
    <col min="7" max="7" width="1.7109375" style="2" customWidth="1"/>
    <col min="8" max="9" width="14.7109375" style="2" customWidth="1"/>
    <col min="10" max="11" width="1.7109375" style="2" customWidth="1"/>
    <col min="12" max="13" width="16.85546875" style="2" customWidth="1"/>
    <col min="14" max="14" width="1.7109375" style="2" customWidth="1"/>
    <col min="15" max="15" width="12.28515625" style="2" customWidth="1"/>
    <col min="16" max="16384" width="9.140625" style="2"/>
  </cols>
  <sheetData>
    <row r="1" spans="1:15" ht="15">
      <c r="A1" s="58" t="str">
        <f>+'JUL WKSHT'!A1</f>
        <v>COMMONWEALTH OF KENTUCKY</v>
      </c>
      <c r="B1" s="3"/>
      <c r="C1" s="3"/>
      <c r="D1" s="3"/>
      <c r="E1" s="3"/>
      <c r="F1" s="3"/>
      <c r="G1" s="3"/>
      <c r="H1" s="3"/>
      <c r="I1" s="3"/>
      <c r="J1" s="3"/>
      <c r="K1" s="3"/>
      <c r="L1" s="3"/>
      <c r="M1" s="3"/>
      <c r="N1" s="3"/>
    </row>
    <row r="2" spans="1:15" ht="15">
      <c r="A2" s="59" t="str">
        <f>+'JUL WKSHT'!A2</f>
        <v>LAW ENFORCEMENT FOUNDATION AND FIREFIGHTERS FOUNDATION FUNDS</v>
      </c>
      <c r="B2" s="3"/>
      <c r="C2" s="3"/>
      <c r="D2" s="3"/>
      <c r="E2" s="3"/>
      <c r="F2" s="3"/>
      <c r="G2" s="3"/>
      <c r="H2" s="3"/>
      <c r="I2" s="3"/>
      <c r="J2" s="3"/>
      <c r="K2" s="3"/>
      <c r="L2" s="3"/>
      <c r="M2" s="3"/>
      <c r="N2" s="3"/>
    </row>
    <row r="3" spans="1:15" ht="15">
      <c r="A3" s="59" t="str">
        <f>+JUL!A3</f>
        <v>SURTAX RECEIPTS SCHEDULE</v>
      </c>
      <c r="B3" s="3"/>
      <c r="C3" s="3"/>
      <c r="D3" s="3"/>
      <c r="E3" s="3"/>
      <c r="F3" s="3"/>
      <c r="G3" s="3"/>
      <c r="H3" s="3"/>
      <c r="I3" s="3"/>
      <c r="J3" s="3"/>
      <c r="K3" s="3"/>
      <c r="L3" s="3"/>
      <c r="M3" s="3"/>
      <c r="N3" s="3"/>
    </row>
    <row r="4" spans="1:15" ht="15">
      <c r="A4" s="59" t="str">
        <f>+'OCT WKSHT'!A4</f>
        <v>FOR THE PERIOD October 1, 2023- October 31, 2023</v>
      </c>
      <c r="B4" s="3"/>
      <c r="C4" s="3"/>
      <c r="D4" s="3"/>
      <c r="E4" s="3"/>
      <c r="F4" s="3"/>
      <c r="G4" s="3"/>
      <c r="H4" s="3"/>
      <c r="I4" s="3"/>
      <c r="J4" s="3"/>
      <c r="K4" s="3"/>
      <c r="L4" s="3"/>
      <c r="M4" s="3"/>
      <c r="N4" s="3"/>
    </row>
    <row r="5" spans="1:15" ht="4.9000000000000004" customHeight="1" thickBot="1">
      <c r="A5" s="17"/>
      <c r="B5" s="17"/>
      <c r="C5" s="17"/>
      <c r="D5" s="17"/>
      <c r="E5" s="17"/>
      <c r="F5" s="17"/>
      <c r="G5" s="17"/>
      <c r="H5" s="17"/>
      <c r="I5" s="17"/>
      <c r="J5" s="17"/>
      <c r="K5" s="17"/>
      <c r="L5" s="17"/>
      <c r="M5" s="17"/>
      <c r="N5" s="17"/>
    </row>
    <row r="6" spans="1:15" ht="13.5" thickBot="1"/>
    <row r="7" spans="1:15" ht="13.5" thickBot="1">
      <c r="A7" s="45" t="str">
        <f>+JUL!A7</f>
        <v>DEPARTMENT OF REVENUE SURTAX RECEIPTS COLLECTED</v>
      </c>
      <c r="B7" s="46"/>
      <c r="C7" s="46"/>
      <c r="D7" s="46"/>
      <c r="E7" s="27"/>
      <c r="F7" s="29"/>
      <c r="G7" s="16"/>
      <c r="H7"/>
      <c r="I7"/>
      <c r="J7"/>
      <c r="K7"/>
      <c r="L7"/>
      <c r="M7"/>
      <c r="N7"/>
      <c r="O7" s="64" t="s">
        <v>5</v>
      </c>
    </row>
    <row r="8" spans="1:15" ht="13.5" thickBot="1">
      <c r="A8" s="51"/>
      <c r="B8" s="52"/>
      <c r="C8" s="52"/>
      <c r="D8" s="52"/>
      <c r="E8" s="39"/>
      <c r="F8" s="40"/>
      <c r="G8" s="24" t="s">
        <v>3</v>
      </c>
      <c r="H8" s="60"/>
      <c r="I8" s="60"/>
      <c r="J8" s="25"/>
      <c r="K8" s="24" t="s">
        <v>4</v>
      </c>
      <c r="L8" s="60"/>
      <c r="M8" s="60"/>
      <c r="N8" s="25"/>
      <c r="O8" s="23"/>
    </row>
    <row r="9" spans="1:15">
      <c r="A9" s="26"/>
      <c r="B9" s="27"/>
      <c r="C9" s="27"/>
      <c r="D9" s="27"/>
      <c r="E9" s="27"/>
      <c r="F9" s="29"/>
      <c r="G9" s="41"/>
      <c r="H9" s="28"/>
      <c r="I9" s="28"/>
      <c r="J9" s="29"/>
      <c r="K9" s="41"/>
      <c r="L9" s="28"/>
      <c r="M9" s="28"/>
      <c r="N9" s="29"/>
    </row>
    <row r="10" spans="1:15">
      <c r="A10" s="53"/>
      <c r="B10" s="31" t="str">
        <f>+JUL!B10</f>
        <v>GROSS RECEIPTS:</v>
      </c>
      <c r="C10" s="31"/>
      <c r="D10" s="32"/>
      <c r="E10" s="33"/>
      <c r="F10" s="35"/>
      <c r="G10" s="42"/>
      <c r="H10" s="16"/>
      <c r="I10" s="20"/>
      <c r="J10" s="56"/>
      <c r="K10" s="42"/>
      <c r="L10" s="16"/>
      <c r="M10" s="20"/>
      <c r="N10" s="56"/>
    </row>
    <row r="11" spans="1:15">
      <c r="A11" s="53"/>
      <c r="B11" s="31"/>
      <c r="C11" s="31" t="str">
        <f>+JUL!C11</f>
        <v>VOLUNTEER FIRE DEPARTMENT AID</v>
      </c>
      <c r="D11" s="32"/>
      <c r="E11" s="33"/>
      <c r="F11" s="35"/>
      <c r="G11" s="42"/>
      <c r="H11" s="13">
        <f>+'OCT WKSHT'!H11</f>
        <v>2254523.42</v>
      </c>
      <c r="I11" s="13"/>
      <c r="J11" s="34"/>
      <c r="K11" s="42"/>
      <c r="L11" s="13">
        <f>+'OCT WKSHT'!K11</f>
        <v>8949648.6600000001</v>
      </c>
      <c r="M11" s="13"/>
      <c r="N11" s="34"/>
    </row>
    <row r="12" spans="1:15">
      <c r="A12" s="53"/>
      <c r="B12" s="31"/>
      <c r="C12" s="31" t="str">
        <f>+JUL!C12</f>
        <v>LAW ENFORCEMENT AND FIREFIGHTERS FUND</v>
      </c>
      <c r="D12" s="32"/>
      <c r="E12" s="33"/>
      <c r="F12" s="35"/>
      <c r="G12" s="42"/>
      <c r="H12" s="11">
        <f>+'OCT WKSHT'!H14</f>
        <v>11755519.829999998</v>
      </c>
      <c r="I12" s="13">
        <f>SUM(H11:H12)</f>
        <v>14010043.249999998</v>
      </c>
      <c r="J12" s="34"/>
      <c r="K12" s="42"/>
      <c r="L12" s="11">
        <f>+'OCT WKSHT'!K14</f>
        <v>48052067.569999993</v>
      </c>
      <c r="M12" s="13">
        <f>SUM(L11:L12)</f>
        <v>57001716.229999989</v>
      </c>
      <c r="N12" s="34"/>
    </row>
    <row r="13" spans="1:15">
      <c r="A13" s="53"/>
      <c r="B13" s="31" t="str">
        <f>+JUL!B13</f>
        <v>REVENUE REFUNDS</v>
      </c>
      <c r="C13" s="33"/>
      <c r="D13" s="31"/>
      <c r="E13" s="33"/>
      <c r="F13" s="35"/>
      <c r="G13" s="42"/>
      <c r="H13" s="16"/>
      <c r="I13" s="16">
        <f>+'OCT WKSHT'!H21</f>
        <v>-2603.2200000000003</v>
      </c>
      <c r="J13" s="35"/>
      <c r="K13" s="42"/>
      <c r="L13" s="16"/>
      <c r="M13" s="16">
        <f>+'OCT WKSHT'!K21</f>
        <v>-9064.3700000000008</v>
      </c>
      <c r="N13" s="35"/>
    </row>
    <row r="14" spans="1:15">
      <c r="A14" s="30"/>
      <c r="B14" s="31" t="str">
        <f>+JUL!B14</f>
        <v>UNHONORED CHECKS</v>
      </c>
      <c r="C14" s="33"/>
      <c r="D14" s="32"/>
      <c r="E14" s="33"/>
      <c r="F14" s="35"/>
      <c r="G14" s="42"/>
      <c r="H14" s="16"/>
      <c r="I14" s="16">
        <f>+'OCT WKSHT'!H25</f>
        <v>0</v>
      </c>
      <c r="J14" s="35"/>
      <c r="K14" s="42"/>
      <c r="L14" s="16"/>
      <c r="M14" s="16">
        <f>+'OCT WKSHT'!K25</f>
        <v>0</v>
      </c>
      <c r="N14" s="35"/>
    </row>
    <row r="15" spans="1:15">
      <c r="A15" s="30"/>
      <c r="B15" s="31" t="str">
        <f>+JUL!B15</f>
        <v>RECEIPT ADJUSTMENTS</v>
      </c>
      <c r="C15" s="33"/>
      <c r="D15" s="32"/>
      <c r="E15" s="33"/>
      <c r="F15" s="35"/>
      <c r="G15" s="42"/>
      <c r="H15" s="16"/>
      <c r="I15" s="36">
        <f>+'OCT WKSHT'!H29</f>
        <v>-109920.48000000001</v>
      </c>
      <c r="J15" s="37"/>
      <c r="K15" s="42"/>
      <c r="L15" s="16"/>
      <c r="M15" s="36">
        <f>+'OCT WKSHT'!K29</f>
        <v>-66948.63</v>
      </c>
      <c r="N15" s="37"/>
    </row>
    <row r="16" spans="1:15" ht="13.5" thickBot="1">
      <c r="A16" s="50"/>
      <c r="B16" s="33"/>
      <c r="C16" s="31" t="str">
        <f>+JUL!C16</f>
        <v>NET RECEIPTS TO BE DISTRIBUTED</v>
      </c>
      <c r="D16" s="33"/>
      <c r="E16" s="33"/>
      <c r="F16" s="35"/>
      <c r="G16" s="42"/>
      <c r="H16" s="16"/>
      <c r="I16" s="22">
        <f>SUM(I10:I15)</f>
        <v>13897519.549999997</v>
      </c>
      <c r="J16" s="56"/>
      <c r="K16" s="42"/>
      <c r="L16" s="16"/>
      <c r="M16" s="22">
        <f>SUM(M10:M15)</f>
        <v>56925703.229999989</v>
      </c>
      <c r="N16" s="56"/>
      <c r="O16" s="2">
        <f>+I16-'OCT WKSHT'!H30</f>
        <v>0</v>
      </c>
    </row>
    <row r="17" spans="1:15" ht="13.5" thickBot="1">
      <c r="A17" s="38"/>
      <c r="B17" s="39"/>
      <c r="C17" s="39"/>
      <c r="D17" s="39"/>
      <c r="E17" s="39"/>
      <c r="F17" s="40"/>
      <c r="G17" s="43"/>
      <c r="H17" s="14"/>
      <c r="I17" s="14"/>
      <c r="J17" s="40"/>
      <c r="K17" s="43"/>
      <c r="L17" s="14"/>
      <c r="M17" s="14"/>
      <c r="N17" s="40"/>
      <c r="O17" s="2">
        <f>+M16-'OCT WKSHT'!K30</f>
        <v>0</v>
      </c>
    </row>
    <row r="18" spans="1:15" ht="13.5" thickBot="1">
      <c r="E18" s="7"/>
    </row>
    <row r="19" spans="1:15" ht="13.5" thickBot="1">
      <c r="A19" s="45" t="str">
        <f>+JUL!A19</f>
        <v>LAW ENFORCEMENT FOUNDATION FUND</v>
      </c>
      <c r="B19" s="46"/>
      <c r="C19" s="46"/>
      <c r="D19" s="46"/>
      <c r="E19" s="27"/>
      <c r="F19" s="29"/>
      <c r="G19" s="16"/>
      <c r="H19"/>
      <c r="I19"/>
      <c r="J19"/>
      <c r="K19"/>
      <c r="L19"/>
      <c r="M19"/>
      <c r="N19"/>
    </row>
    <row r="20" spans="1:15" ht="13.5" thickBot="1">
      <c r="A20" s="51"/>
      <c r="B20" s="52"/>
      <c r="C20" s="52"/>
      <c r="D20" s="52"/>
      <c r="E20" s="39"/>
      <c r="F20" s="40"/>
      <c r="G20" s="24" t="s">
        <v>3</v>
      </c>
      <c r="H20" s="60"/>
      <c r="I20" s="60"/>
      <c r="J20" s="25"/>
      <c r="K20" s="24" t="s">
        <v>4</v>
      </c>
      <c r="L20" s="60"/>
      <c r="M20" s="60"/>
      <c r="N20" s="25"/>
    </row>
    <row r="21" spans="1:15">
      <c r="A21" s="45"/>
      <c r="B21" s="27"/>
      <c r="C21" s="27"/>
      <c r="D21" s="27"/>
      <c r="E21" s="27"/>
      <c r="F21" s="29"/>
      <c r="G21" s="41"/>
      <c r="H21" s="48"/>
      <c r="I21" s="48"/>
      <c r="J21" s="47"/>
      <c r="K21" s="41"/>
      <c r="L21" s="48"/>
      <c r="M21" s="48"/>
      <c r="N21" s="47"/>
    </row>
    <row r="22" spans="1:15">
      <c r="A22" s="30"/>
      <c r="B22" s="31" t="str">
        <f>+JUL!B22</f>
        <v>BALANCE FORWARDED FROM FISCAL YEAR 2023</v>
      </c>
      <c r="C22" s="33"/>
      <c r="D22" s="32"/>
      <c r="E22" s="32"/>
      <c r="F22" s="35"/>
      <c r="G22" s="42"/>
      <c r="H22" s="16"/>
      <c r="I22" s="16"/>
      <c r="J22" s="35"/>
      <c r="K22" s="42"/>
      <c r="L22" s="16"/>
      <c r="M22" s="13">
        <f>+'OCT WKSHT'!K46</f>
        <v>73871638.640000001</v>
      </c>
      <c r="N22" s="35"/>
    </row>
    <row r="23" spans="1:15">
      <c r="A23" s="49"/>
      <c r="B23" s="44"/>
      <c r="C23" s="32"/>
      <c r="D23" s="32"/>
      <c r="E23" s="32"/>
      <c r="F23" s="35"/>
      <c r="G23" s="42"/>
      <c r="H23" s="16"/>
      <c r="I23" s="16"/>
      <c r="J23" s="35"/>
      <c r="K23" s="42"/>
      <c r="L23" s="16"/>
      <c r="M23" s="16"/>
      <c r="N23" s="35"/>
    </row>
    <row r="24" spans="1:15">
      <c r="A24" s="53"/>
      <c r="B24" s="31" t="str">
        <f>+'OCT WKSHT'!B48</f>
        <v>CASH BALANCE SEPTEMBER 30, 2023</v>
      </c>
      <c r="C24" s="33"/>
      <c r="D24" s="32"/>
      <c r="E24" s="32"/>
      <c r="F24" s="35"/>
      <c r="G24" s="42"/>
      <c r="H24" s="16"/>
      <c r="I24" s="20">
        <f>+'OCT WKSHT'!H48</f>
        <v>82204368.420000002</v>
      </c>
      <c r="J24" s="56"/>
      <c r="K24" s="42"/>
      <c r="L24" s="16"/>
      <c r="M24" s="20"/>
      <c r="N24" s="56"/>
    </row>
    <row r="25" spans="1:15">
      <c r="A25" s="30"/>
      <c r="B25" s="32"/>
      <c r="C25" s="31"/>
      <c r="D25" s="32"/>
      <c r="E25" s="32"/>
      <c r="F25" s="35"/>
      <c r="G25" s="42"/>
      <c r="H25" s="16"/>
      <c r="I25" s="20"/>
      <c r="J25" s="56"/>
      <c r="K25" s="42"/>
      <c r="L25" s="16"/>
      <c r="M25" s="20"/>
      <c r="N25" s="56"/>
    </row>
    <row r="26" spans="1:15">
      <c r="A26" s="54"/>
      <c r="B26" s="31" t="str">
        <f>+JUL!B26</f>
        <v>REVENUE DISTRIBUTION INCOME:</v>
      </c>
      <c r="C26" s="32"/>
      <c r="D26" s="32"/>
      <c r="E26" s="32"/>
      <c r="F26" s="35"/>
      <c r="G26" s="42"/>
      <c r="H26" s="16"/>
      <c r="I26" s="16"/>
      <c r="J26" s="35"/>
      <c r="K26" s="42"/>
      <c r="L26" s="16"/>
      <c r="M26" s="16"/>
      <c r="N26" s="35"/>
    </row>
    <row r="27" spans="1:15">
      <c r="A27" s="30"/>
      <c r="B27" s="32"/>
      <c r="C27" s="31" t="str">
        <f>+JUL!C27</f>
        <v>REVENUE DISTRIBUTION</v>
      </c>
      <c r="D27" s="32"/>
      <c r="E27" s="32"/>
      <c r="F27" s="35"/>
      <c r="G27" s="42"/>
      <c r="H27" s="20">
        <f>+'OCT WKSHT'!G51</f>
        <v>8092377.7599999998</v>
      </c>
      <c r="I27" s="33"/>
      <c r="J27" s="57"/>
      <c r="K27" s="42"/>
      <c r="L27" s="20">
        <f>+'OCT WKSHT'!J51</f>
        <v>36403684.969999999</v>
      </c>
      <c r="M27" s="33"/>
      <c r="N27" s="57"/>
    </row>
    <row r="28" spans="1:15">
      <c r="A28" s="30"/>
      <c r="B28" s="32"/>
      <c r="C28" s="31" t="str">
        <f>+JUL!C28</f>
        <v>REVENUE REFUNDS:  PRIOR YEAR</v>
      </c>
      <c r="D28" s="32"/>
      <c r="E28" s="32"/>
      <c r="F28" s="35"/>
      <c r="G28" s="42"/>
      <c r="H28" s="16">
        <f>+'OCT WKSHT'!G52</f>
        <v>0</v>
      </c>
      <c r="I28" s="33"/>
      <c r="J28" s="57"/>
      <c r="K28" s="42"/>
      <c r="L28" s="16">
        <f>+'OCT WKSHT'!J52</f>
        <v>0</v>
      </c>
      <c r="M28" s="33"/>
      <c r="N28" s="57"/>
    </row>
    <row r="29" spans="1:15">
      <c r="A29" s="30"/>
      <c r="B29" s="32"/>
      <c r="C29" s="31" t="str">
        <f>+JUL!C29</f>
        <v>REVENUE REFUNDS:  CURRENT YEAR</v>
      </c>
      <c r="D29" s="32"/>
      <c r="E29" s="32"/>
      <c r="F29" s="35"/>
      <c r="G29" s="42"/>
      <c r="H29" s="16">
        <f>+'OCT WKSHT'!G53</f>
        <v>-266.72000000000003</v>
      </c>
      <c r="I29" s="33"/>
      <c r="J29" s="57"/>
      <c r="K29" s="42"/>
      <c r="L29" s="16">
        <f>+'OCT WKSHT'!J53</f>
        <v>-5039.7000000000007</v>
      </c>
      <c r="M29" s="33"/>
      <c r="N29" s="57"/>
    </row>
    <row r="30" spans="1:15">
      <c r="A30" s="30"/>
      <c r="B30" s="32"/>
      <c r="C30" s="31" t="str">
        <f>+JUL!C30</f>
        <v>REFUND OF PRIOR YEAR DISBURSEMENTS</v>
      </c>
      <c r="D30" s="32"/>
      <c r="E30" s="32"/>
      <c r="F30" s="35"/>
      <c r="G30" s="42"/>
      <c r="H30" s="16">
        <f>+'OCT WKSHT'!G54</f>
        <v>0</v>
      </c>
      <c r="I30" s="33"/>
      <c r="J30" s="57"/>
      <c r="K30" s="42"/>
      <c r="L30" s="16">
        <f>+'OCT WKSHT'!J54</f>
        <v>0</v>
      </c>
      <c r="M30" s="33"/>
      <c r="N30" s="57"/>
    </row>
    <row r="31" spans="1:15">
      <c r="A31" s="30"/>
      <c r="B31" s="32"/>
      <c r="C31" s="31" t="str">
        <f>+JUL!C31</f>
        <v>UNHONORED CHECKS</v>
      </c>
      <c r="D31" s="32"/>
      <c r="E31" s="32"/>
      <c r="F31" s="35"/>
      <c r="G31" s="42"/>
      <c r="H31" s="16">
        <f>+'OCT WKSHT'!G55</f>
        <v>0</v>
      </c>
      <c r="I31" s="33"/>
      <c r="J31" s="57"/>
      <c r="K31" s="42"/>
      <c r="L31" s="16">
        <f>+'OCT WKSHT'!J55</f>
        <v>0</v>
      </c>
      <c r="M31" s="33"/>
      <c r="N31" s="57"/>
    </row>
    <row r="32" spans="1:15">
      <c r="A32" s="30"/>
      <c r="B32" s="32"/>
      <c r="C32" s="31" t="str">
        <f>+JUL!C32</f>
        <v>RECEIPT ADJUSTMENTS</v>
      </c>
      <c r="D32" s="32"/>
      <c r="E32" s="32"/>
      <c r="F32" s="35"/>
      <c r="G32" s="42"/>
      <c r="H32" s="11">
        <f>+'OCT WKSHT'!G56</f>
        <v>-85184.1</v>
      </c>
      <c r="I32" s="16">
        <f>SUM(H27:H32)</f>
        <v>8006926.9400000004</v>
      </c>
      <c r="J32" s="35"/>
      <c r="K32" s="42"/>
      <c r="L32" s="11">
        <f>+'OCT WKSHT'!J56</f>
        <v>290703.14</v>
      </c>
      <c r="M32" s="16">
        <f>SUM(L27:L32)</f>
        <v>36689348.409999996</v>
      </c>
      <c r="N32" s="35"/>
    </row>
    <row r="33" spans="1:15">
      <c r="A33" s="30"/>
      <c r="B33" s="32"/>
      <c r="C33" s="32"/>
      <c r="D33" s="32"/>
      <c r="E33" s="32"/>
      <c r="F33" s="35"/>
      <c r="G33" s="42"/>
      <c r="H33" s="16"/>
      <c r="I33" s="16"/>
      <c r="J33" s="35"/>
      <c r="K33" s="42"/>
      <c r="L33" s="16"/>
      <c r="M33" s="16"/>
      <c r="N33" s="35"/>
    </row>
    <row r="34" spans="1:15">
      <c r="A34" s="53"/>
      <c r="B34" s="31" t="str">
        <f>+JUL!B34</f>
        <v>INVESTMENT INCOME</v>
      </c>
      <c r="C34" s="33"/>
      <c r="D34" s="32"/>
      <c r="E34" s="32"/>
      <c r="F34" s="35"/>
      <c r="G34" s="42"/>
      <c r="H34" s="16"/>
      <c r="I34" s="16">
        <f>+'OCT WKSHT'!H58</f>
        <v>332414.5</v>
      </c>
      <c r="J34" s="35"/>
      <c r="K34" s="42"/>
      <c r="L34" s="16"/>
      <c r="M34" s="16">
        <f>+'OCT WKSHT'!K58</f>
        <v>1268464.0900000001</v>
      </c>
      <c r="N34" s="35"/>
    </row>
    <row r="35" spans="1:15">
      <c r="A35" s="30"/>
      <c r="B35" s="32"/>
      <c r="C35" s="32"/>
      <c r="D35" s="32"/>
      <c r="E35" s="32"/>
      <c r="F35" s="35"/>
      <c r="G35" s="42"/>
      <c r="H35" s="16"/>
      <c r="I35" s="16"/>
      <c r="J35" s="35"/>
      <c r="K35" s="42"/>
      <c r="L35" s="16"/>
      <c r="M35" s="16"/>
      <c r="N35" s="35"/>
    </row>
    <row r="36" spans="1:15">
      <c r="A36" s="30"/>
      <c r="B36" s="31" t="str">
        <f>+JUL!B36</f>
        <v>OTHER REVENUE</v>
      </c>
      <c r="C36" s="33"/>
      <c r="D36" s="32"/>
      <c r="E36" s="32"/>
      <c r="F36" s="35"/>
      <c r="G36" s="42"/>
      <c r="H36" s="16"/>
      <c r="I36" s="16">
        <f>+'OCT WKSHT'!H60</f>
        <v>6110.11</v>
      </c>
      <c r="J36" s="35"/>
      <c r="K36" s="42"/>
      <c r="L36" s="16"/>
      <c r="M36" s="16">
        <f>+'OCT WKSHT'!K60</f>
        <v>6110.11</v>
      </c>
      <c r="N36" s="35"/>
    </row>
    <row r="37" spans="1:15">
      <c r="A37" s="30"/>
      <c r="B37" s="32"/>
      <c r="C37" s="32"/>
      <c r="D37" s="32"/>
      <c r="E37" s="32"/>
      <c r="F37" s="35"/>
      <c r="G37" s="42"/>
      <c r="H37" s="16"/>
      <c r="I37" s="16"/>
      <c r="J37" s="35"/>
      <c r="K37" s="42"/>
      <c r="L37" s="16"/>
      <c r="M37" s="16"/>
      <c r="N37" s="35"/>
    </row>
    <row r="38" spans="1:15">
      <c r="A38" s="53"/>
      <c r="B38" s="31" t="str">
        <f>+JUL!B38</f>
        <v>EXPENDITURES</v>
      </c>
      <c r="C38" s="32"/>
      <c r="D38" s="32"/>
      <c r="E38" s="32"/>
      <c r="F38" s="35"/>
      <c r="G38" s="42"/>
      <c r="H38" s="16"/>
      <c r="I38" s="11">
        <f>+'OCT WKSHT'!H64</f>
        <v>7121098.5700000003</v>
      </c>
      <c r="J38" s="35"/>
      <c r="K38" s="42"/>
      <c r="L38" s="16"/>
      <c r="M38" s="11">
        <f>+'OCT WKSHT'!K64</f>
        <v>28406839.850000001</v>
      </c>
      <c r="N38" s="35"/>
    </row>
    <row r="39" spans="1:15">
      <c r="A39" s="30"/>
      <c r="B39" s="32"/>
      <c r="C39" s="32"/>
      <c r="D39" s="32"/>
      <c r="E39" s="32"/>
      <c r="F39" s="35"/>
      <c r="G39" s="42"/>
      <c r="H39" s="16"/>
      <c r="I39" s="16"/>
      <c r="J39" s="35"/>
      <c r="K39" s="42"/>
      <c r="L39" s="16"/>
      <c r="M39" s="16"/>
      <c r="N39" s="35"/>
    </row>
    <row r="40" spans="1:15" ht="13.5" thickBot="1">
      <c r="A40" s="53"/>
      <c r="B40" s="31" t="str">
        <f>+'OCT WKSHT'!B66</f>
        <v>CASH BALANCE OCTOBER 31, 2023</v>
      </c>
      <c r="C40" s="32"/>
      <c r="D40" s="32"/>
      <c r="E40" s="32"/>
      <c r="F40" s="35"/>
      <c r="G40" s="42"/>
      <c r="H40" s="16"/>
      <c r="I40" s="21">
        <f>+I24+I32+I34+I36-I38</f>
        <v>83428721.400000006</v>
      </c>
      <c r="J40" s="56"/>
      <c r="K40" s="42"/>
      <c r="L40" s="16"/>
      <c r="M40" s="21">
        <f>+M22+M32+M34+M36-M38</f>
        <v>83428721.400000006</v>
      </c>
      <c r="N40" s="56"/>
      <c r="O40" s="2">
        <f>+I40-'OCT WKSHT'!H66</f>
        <v>0</v>
      </c>
    </row>
    <row r="41" spans="1:15" ht="13.5" thickBot="1">
      <c r="A41" s="38"/>
      <c r="B41" s="39"/>
      <c r="C41" s="39"/>
      <c r="D41" s="39"/>
      <c r="E41" s="39"/>
      <c r="F41" s="40"/>
      <c r="G41" s="43"/>
      <c r="H41" s="14"/>
      <c r="I41" s="14"/>
      <c r="J41" s="40"/>
      <c r="K41" s="43"/>
      <c r="L41" s="14"/>
      <c r="M41" s="14"/>
      <c r="N41" s="40"/>
      <c r="O41" s="2">
        <f>+M40-'OCT WKSHT'!K66</f>
        <v>0</v>
      </c>
    </row>
    <row r="42" spans="1:15" ht="13.5" thickBot="1"/>
    <row r="43" spans="1:15" ht="13.5" thickBot="1">
      <c r="A43" s="45" t="str">
        <f>+JUL!A43</f>
        <v>FIREFIGHTERS FOUNDATION FUND</v>
      </c>
      <c r="B43" s="27"/>
      <c r="C43" s="27"/>
      <c r="D43" s="27"/>
      <c r="E43" s="27"/>
      <c r="F43" s="29"/>
      <c r="G43" s="16"/>
    </row>
    <row r="44" spans="1:15" ht="13.5" thickBot="1">
      <c r="A44" s="51"/>
      <c r="B44" s="39"/>
      <c r="C44" s="39"/>
      <c r="D44" s="39"/>
      <c r="E44" s="39"/>
      <c r="F44" s="40"/>
      <c r="G44" s="24" t="s">
        <v>3</v>
      </c>
      <c r="H44" s="60"/>
      <c r="I44" s="60"/>
      <c r="J44" s="25"/>
      <c r="K44" s="24" t="s">
        <v>4</v>
      </c>
      <c r="L44" s="60"/>
      <c r="M44" s="60"/>
      <c r="N44" s="25"/>
    </row>
    <row r="45" spans="1:15">
      <c r="A45" s="45"/>
      <c r="B45" s="27"/>
      <c r="C45" s="27"/>
      <c r="D45" s="27"/>
      <c r="E45" s="27"/>
      <c r="F45" s="29"/>
      <c r="G45" s="41"/>
      <c r="H45" s="48"/>
      <c r="I45" s="48"/>
      <c r="J45" s="47"/>
      <c r="K45" s="41"/>
      <c r="L45" s="48"/>
      <c r="M45" s="48"/>
      <c r="N45" s="47"/>
    </row>
    <row r="46" spans="1:15">
      <c r="A46" s="30">
        <f>+A22</f>
        <v>0</v>
      </c>
      <c r="B46" s="31" t="str">
        <f>+B22</f>
        <v>BALANCE FORWARDED FROM FISCAL YEAR 2023</v>
      </c>
      <c r="C46" s="32"/>
      <c r="D46" s="32"/>
      <c r="E46" s="32"/>
      <c r="F46" s="35"/>
      <c r="G46" s="42"/>
      <c r="H46" s="16"/>
      <c r="I46" s="16"/>
      <c r="J46" s="35"/>
      <c r="K46" s="42"/>
      <c r="L46" s="16"/>
      <c r="M46" s="13">
        <f>+'OCT WKSHT'!K69</f>
        <v>38612985.210000001</v>
      </c>
      <c r="N46" s="35"/>
    </row>
    <row r="47" spans="1:15">
      <c r="A47" s="49"/>
      <c r="B47" s="32"/>
      <c r="C47" s="32"/>
      <c r="D47" s="32"/>
      <c r="E47" s="32"/>
      <c r="F47" s="35"/>
      <c r="G47" s="42"/>
      <c r="H47" s="16"/>
      <c r="I47" s="16"/>
      <c r="J47" s="35"/>
      <c r="K47" s="42"/>
      <c r="L47" s="16"/>
      <c r="M47" s="16"/>
      <c r="N47" s="35"/>
    </row>
    <row r="48" spans="1:15">
      <c r="A48" s="53">
        <f>+A24</f>
        <v>0</v>
      </c>
      <c r="B48" s="32" t="str">
        <f>+B24</f>
        <v>CASH BALANCE SEPTEMBER 30, 2023</v>
      </c>
      <c r="C48" s="32"/>
      <c r="D48" s="32"/>
      <c r="E48" s="32"/>
      <c r="F48" s="61"/>
      <c r="G48" s="42"/>
      <c r="H48" s="16"/>
      <c r="I48" s="20">
        <f>+'OCT WKSHT'!H71</f>
        <v>40586690.859999992</v>
      </c>
      <c r="J48" s="56"/>
      <c r="K48" s="42"/>
      <c r="L48" s="16"/>
      <c r="M48" s="20"/>
      <c r="N48" s="56"/>
    </row>
    <row r="49" spans="1:15">
      <c r="A49" s="30"/>
      <c r="B49" s="31"/>
      <c r="C49" s="32"/>
      <c r="D49" s="32"/>
      <c r="E49" s="32"/>
      <c r="F49" s="61"/>
      <c r="G49" s="42"/>
      <c r="H49" s="16"/>
      <c r="I49" s="20"/>
      <c r="J49" s="56"/>
      <c r="K49" s="42"/>
      <c r="L49" s="16"/>
      <c r="M49" s="20"/>
      <c r="N49" s="56"/>
    </row>
    <row r="50" spans="1:15">
      <c r="A50" s="54">
        <f>+A26</f>
        <v>0</v>
      </c>
      <c r="B50" s="31" t="str">
        <f>+JUL!B50</f>
        <v>REVENUE DISTRIBUTION INCOME:</v>
      </c>
      <c r="C50" s="62"/>
      <c r="D50" s="32"/>
      <c r="E50" s="32"/>
      <c r="F50" s="61"/>
      <c r="G50" s="42"/>
      <c r="H50" s="16"/>
      <c r="I50" s="16"/>
      <c r="J50" s="35"/>
      <c r="K50" s="42"/>
      <c r="L50" s="16"/>
      <c r="M50" s="16"/>
      <c r="N50" s="35"/>
    </row>
    <row r="51" spans="1:15">
      <c r="A51" s="30"/>
      <c r="B51" s="31"/>
      <c r="C51" s="31" t="str">
        <f>+JUL!C51</f>
        <v>REVENUE DISTRIBUTION</v>
      </c>
      <c r="D51" s="32"/>
      <c r="E51" s="32"/>
      <c r="F51" s="61"/>
      <c r="G51" s="42"/>
      <c r="H51" s="20">
        <f>+'OCT WKSHT'!G76</f>
        <v>4536988.9499999993</v>
      </c>
      <c r="I51" s="33"/>
      <c r="J51" s="57"/>
      <c r="K51" s="42"/>
      <c r="L51" s="20">
        <f>+'OCT WKSHT'!J76</f>
        <v>19217354.719999999</v>
      </c>
      <c r="M51" s="33"/>
      <c r="N51" s="57"/>
    </row>
    <row r="52" spans="1:15">
      <c r="A52" s="30"/>
      <c r="B52" s="31"/>
      <c r="C52" s="31" t="str">
        <f>+JUL!C52</f>
        <v>REVENUE REFUNDS:  PRIOR YEAR</v>
      </c>
      <c r="D52" s="32"/>
      <c r="E52" s="32"/>
      <c r="F52" s="61"/>
      <c r="G52" s="42"/>
      <c r="H52" s="16">
        <f>+'OCT WKSHT'!G77</f>
        <v>0</v>
      </c>
      <c r="I52" s="33"/>
      <c r="J52" s="57"/>
      <c r="K52" s="42"/>
      <c r="L52" s="16">
        <f>+'OCT WKSHT'!J77</f>
        <v>0</v>
      </c>
      <c r="M52" s="33"/>
      <c r="N52" s="57"/>
    </row>
    <row r="53" spans="1:15">
      <c r="A53" s="30"/>
      <c r="B53" s="32"/>
      <c r="C53" s="31" t="str">
        <f>+JUL!C53</f>
        <v>REVENUE REFUNDS:  CURRENT YEAR</v>
      </c>
      <c r="D53" s="32"/>
      <c r="E53" s="32"/>
      <c r="F53" s="61"/>
      <c r="G53" s="42"/>
      <c r="H53" s="16">
        <f>+'OCT WKSHT'!G78</f>
        <v>-75.23</v>
      </c>
      <c r="I53" s="33"/>
      <c r="J53" s="57"/>
      <c r="K53" s="42"/>
      <c r="L53" s="16">
        <f>+'OCT WKSHT'!J78</f>
        <v>-1421.45</v>
      </c>
      <c r="M53" s="33"/>
      <c r="N53" s="57"/>
    </row>
    <row r="54" spans="1:15">
      <c r="A54" s="30"/>
      <c r="B54" s="31"/>
      <c r="C54" s="31" t="str">
        <f>+JUL!C54</f>
        <v>REFUND OF PRIOR YEAR DISBURSEMENTS</v>
      </c>
      <c r="D54" s="32"/>
      <c r="E54" s="32"/>
      <c r="F54" s="61"/>
      <c r="G54" s="42"/>
      <c r="H54" s="16">
        <f>+'OCT WKSHT'!G79</f>
        <v>0</v>
      </c>
      <c r="I54" s="33"/>
      <c r="J54" s="57"/>
      <c r="K54" s="42"/>
      <c r="L54" s="16">
        <f>+'OCT WKSHT'!J79</f>
        <v>0</v>
      </c>
      <c r="M54" s="33"/>
      <c r="N54" s="57"/>
    </row>
    <row r="55" spans="1:15">
      <c r="A55" s="30"/>
      <c r="B55" s="32"/>
      <c r="C55" s="31" t="str">
        <f>+JUL!C55</f>
        <v>UNHONORED CHECKS</v>
      </c>
      <c r="D55" s="32"/>
      <c r="E55" s="32"/>
      <c r="F55" s="61"/>
      <c r="G55" s="42"/>
      <c r="H55" s="16">
        <f>+'OCT WKSHT'!G80</f>
        <v>0</v>
      </c>
      <c r="I55" s="33"/>
      <c r="J55" s="57"/>
      <c r="K55" s="42"/>
      <c r="L55" s="16">
        <f>+'OCT WKSHT'!J80</f>
        <v>0</v>
      </c>
      <c r="M55" s="33"/>
      <c r="N55" s="57"/>
    </row>
    <row r="56" spans="1:15">
      <c r="A56" s="30"/>
      <c r="B56" s="32"/>
      <c r="C56" s="31" t="str">
        <f>+JUL!C56</f>
        <v>RECEIPT ADJUSTMENTS</v>
      </c>
      <c r="D56" s="32"/>
      <c r="E56" s="32"/>
      <c r="F56" s="61"/>
      <c r="G56" s="42"/>
      <c r="H56" s="11">
        <f>+'OCT WKSHT'!G81</f>
        <v>-24026.29</v>
      </c>
      <c r="I56" s="16">
        <f>SUM(H51:H56)</f>
        <v>4512887.4299999988</v>
      </c>
      <c r="J56" s="35"/>
      <c r="K56" s="42"/>
      <c r="L56" s="11">
        <f>+'OCT WKSHT'!J81</f>
        <v>-356941.68</v>
      </c>
      <c r="M56" s="16">
        <f>SUM(L51:L56)</f>
        <v>18858991.59</v>
      </c>
      <c r="N56" s="35"/>
    </row>
    <row r="57" spans="1:15">
      <c r="A57" s="30"/>
      <c r="B57" s="32"/>
      <c r="C57" s="32"/>
      <c r="D57" s="32"/>
      <c r="E57" s="32"/>
      <c r="F57" s="61"/>
      <c r="G57" s="42"/>
      <c r="H57" s="16"/>
      <c r="I57" s="16"/>
      <c r="J57" s="35"/>
      <c r="K57" s="42"/>
      <c r="L57" s="16"/>
      <c r="M57" s="16"/>
      <c r="N57" s="35"/>
    </row>
    <row r="58" spans="1:15">
      <c r="A58" s="53">
        <f>+A34</f>
        <v>0</v>
      </c>
      <c r="B58" s="31" t="str">
        <f>+JUL!B58</f>
        <v>INVESTMENT INCOME</v>
      </c>
      <c r="C58" s="62"/>
      <c r="D58" s="32"/>
      <c r="E58" s="32"/>
      <c r="F58" s="61"/>
      <c r="G58" s="42"/>
      <c r="H58" s="16"/>
      <c r="I58" s="16">
        <f>+'OCT WKSHT'!H83</f>
        <v>154181.59</v>
      </c>
      <c r="J58" s="35"/>
      <c r="K58" s="42"/>
      <c r="L58" s="16"/>
      <c r="M58" s="16">
        <f>+'OCT WKSHT'!K83</f>
        <v>556112.54</v>
      </c>
      <c r="N58" s="35"/>
    </row>
    <row r="59" spans="1:15">
      <c r="A59" s="30"/>
      <c r="B59" s="32"/>
      <c r="C59" s="32"/>
      <c r="D59" s="32"/>
      <c r="E59" s="32"/>
      <c r="F59" s="61"/>
      <c r="G59" s="42"/>
      <c r="H59" s="16"/>
      <c r="I59" s="16"/>
      <c r="J59" s="35"/>
      <c r="K59" s="42"/>
      <c r="L59" s="16"/>
      <c r="M59" s="16"/>
      <c r="N59" s="35"/>
    </row>
    <row r="60" spans="1:15">
      <c r="A60" s="30"/>
      <c r="B60" s="31" t="str">
        <f>+JUL!B60</f>
        <v>OTHER REVENUE</v>
      </c>
      <c r="C60" s="62"/>
      <c r="D60" s="32"/>
      <c r="E60" s="32"/>
      <c r="F60" s="61"/>
      <c r="G60" s="42"/>
      <c r="H60" s="16"/>
      <c r="I60" s="16">
        <f>+'OCT WKSHT'!H85</f>
        <v>0</v>
      </c>
      <c r="J60" s="35"/>
      <c r="K60" s="42"/>
      <c r="L60" s="16"/>
      <c r="M60" s="16">
        <f>+'OCT WKSHT'!K85</f>
        <v>0</v>
      </c>
      <c r="N60" s="35"/>
    </row>
    <row r="61" spans="1:15">
      <c r="A61" s="30"/>
      <c r="B61" s="32"/>
      <c r="C61" s="32"/>
      <c r="D61" s="32"/>
      <c r="E61" s="32"/>
      <c r="F61" s="61"/>
      <c r="G61" s="42"/>
      <c r="H61" s="16"/>
      <c r="I61" s="16"/>
      <c r="J61" s="35"/>
      <c r="K61" s="42"/>
      <c r="L61" s="16"/>
      <c r="M61" s="16"/>
      <c r="N61" s="35"/>
    </row>
    <row r="62" spans="1:15">
      <c r="A62" s="30"/>
      <c r="B62" s="31" t="str">
        <f>+JUL!B62</f>
        <v>EXPENDITURES</v>
      </c>
      <c r="C62" s="32"/>
      <c r="D62" s="32"/>
      <c r="E62" s="32"/>
      <c r="F62" s="61"/>
      <c r="G62" s="42"/>
      <c r="H62" s="16"/>
      <c r="I62" s="11">
        <f>+'OCT WKSHT'!H87</f>
        <v>4997626.3499999978</v>
      </c>
      <c r="J62" s="35"/>
      <c r="K62" s="42"/>
      <c r="L62" s="16"/>
      <c r="M62" s="11">
        <f>+'OCT WKSHT'!K87</f>
        <v>17771955.809999999</v>
      </c>
      <c r="N62" s="35"/>
    </row>
    <row r="63" spans="1:15">
      <c r="A63" s="30"/>
      <c r="B63" s="32"/>
      <c r="C63" s="32"/>
      <c r="D63" s="32"/>
      <c r="E63" s="32"/>
      <c r="F63" s="61"/>
      <c r="G63" s="42"/>
      <c r="H63" s="16"/>
      <c r="I63" s="16"/>
      <c r="J63" s="35"/>
      <c r="K63" s="42"/>
      <c r="L63" s="16"/>
      <c r="M63" s="16"/>
      <c r="N63" s="35"/>
      <c r="O63" s="2">
        <f>+I64-'OCT WKSHT'!H89</f>
        <v>0</v>
      </c>
    </row>
    <row r="64" spans="1:15" ht="13.5" thickBot="1">
      <c r="A64" s="30">
        <f>+A38</f>
        <v>0</v>
      </c>
      <c r="B64" s="31" t="str">
        <f>+B40</f>
        <v>CASH BALANCE OCTOBER 31, 2023</v>
      </c>
      <c r="C64" s="32"/>
      <c r="D64" s="32"/>
      <c r="E64" s="32"/>
      <c r="F64" s="61"/>
      <c r="G64" s="42"/>
      <c r="H64" s="16"/>
      <c r="I64" s="21">
        <f>+I48+I56+I58+I60-I62</f>
        <v>40256133.530000001</v>
      </c>
      <c r="J64" s="56"/>
      <c r="K64" s="42"/>
      <c r="L64" s="16"/>
      <c r="M64" s="21">
        <f>+M46+M56+M58+M60-M62</f>
        <v>40256133.530000001</v>
      </c>
      <c r="N64" s="56"/>
      <c r="O64" s="2">
        <f>+M64-'OCT WKSHT'!K89</f>
        <v>0</v>
      </c>
    </row>
    <row r="65" spans="1:14" ht="13.5" thickBot="1">
      <c r="A65" s="38"/>
      <c r="B65" s="39"/>
      <c r="C65" s="39"/>
      <c r="D65" s="39"/>
      <c r="E65" s="39"/>
      <c r="F65" s="40"/>
      <c r="G65" s="43"/>
      <c r="H65" s="14"/>
      <c r="I65" s="14"/>
      <c r="J65" s="40"/>
      <c r="K65" s="43"/>
      <c r="L65" s="14"/>
      <c r="M65" s="14"/>
      <c r="N65" s="40"/>
    </row>
  </sheetData>
  <phoneticPr fontId="12" type="noConversion"/>
  <printOptions horizontalCentered="1" verticalCentered="1"/>
  <pageMargins left="0" right="0" top="0.5" bottom="0.5" header="0" footer="0"/>
  <pageSetup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topLeftCell="A42" zoomScale="90" zoomScaleNormal="90" workbookViewId="0">
      <selection activeCell="K46" sqref="K46"/>
    </sheetView>
  </sheetViews>
  <sheetFormatPr defaultColWidth="9.140625" defaultRowHeight="12.75"/>
  <cols>
    <col min="1" max="4" width="3.7109375" style="310" customWidth="1"/>
    <col min="5" max="5" width="29.7109375" style="310" customWidth="1"/>
    <col min="6" max="8" width="14.7109375" style="309" customWidth="1"/>
    <col min="9" max="9" width="1.7109375" style="309" customWidth="1"/>
    <col min="10" max="10" width="14.7109375" style="309" customWidth="1"/>
    <col min="11" max="11" width="17.140625" style="309" bestFit="1" customWidth="1"/>
    <col min="12" max="12" width="22.28515625" style="309" customWidth="1"/>
    <col min="13" max="13" width="15.42578125" style="309" customWidth="1"/>
    <col min="14" max="14" width="9.140625" style="309"/>
    <col min="15" max="15" width="14.7109375" style="309" customWidth="1"/>
    <col min="16" max="16384" width="9.140625" style="309"/>
  </cols>
  <sheetData>
    <row r="1" spans="1:12" ht="15">
      <c r="A1" s="364" t="s">
        <v>0</v>
      </c>
      <c r="B1" s="361"/>
      <c r="C1" s="361"/>
      <c r="D1" s="361"/>
      <c r="E1" s="361"/>
      <c r="F1" s="361"/>
      <c r="G1" s="361"/>
      <c r="H1" s="361"/>
      <c r="I1" s="361"/>
      <c r="J1" s="361"/>
      <c r="K1" s="361"/>
    </row>
    <row r="2" spans="1:12" ht="15">
      <c r="A2" s="365" t="s">
        <v>1</v>
      </c>
      <c r="B2" s="361"/>
      <c r="C2" s="361"/>
      <c r="D2" s="361"/>
      <c r="E2" s="361"/>
      <c r="F2" s="361"/>
      <c r="G2" s="361"/>
      <c r="H2" s="361"/>
      <c r="I2" s="361"/>
      <c r="J2" s="361"/>
      <c r="K2" s="361"/>
    </row>
    <row r="3" spans="1:12" ht="15">
      <c r="A3" s="364" t="s">
        <v>2</v>
      </c>
      <c r="B3" s="361"/>
      <c r="C3" s="361"/>
      <c r="D3" s="361"/>
      <c r="E3" s="361"/>
      <c r="F3" s="361"/>
      <c r="G3" s="361"/>
      <c r="H3" s="361"/>
      <c r="I3" s="361"/>
      <c r="J3" s="361"/>
      <c r="K3" s="361"/>
    </row>
    <row r="4" spans="1:12" ht="15">
      <c r="A4" s="363" t="s">
        <v>97</v>
      </c>
      <c r="B4" s="362"/>
      <c r="C4" s="362"/>
      <c r="D4" s="362"/>
      <c r="E4" s="362"/>
      <c r="F4" s="362"/>
      <c r="G4" s="361"/>
      <c r="H4" s="361"/>
      <c r="I4" s="361"/>
      <c r="J4" s="361"/>
      <c r="K4" s="361"/>
    </row>
    <row r="5" spans="1:12" ht="4.9000000000000004" customHeight="1" thickBot="1">
      <c r="A5" s="360"/>
      <c r="B5" s="360"/>
      <c r="C5" s="360"/>
      <c r="D5" s="360"/>
      <c r="E5" s="360"/>
      <c r="F5" s="360"/>
      <c r="G5" s="360"/>
      <c r="H5" s="360"/>
      <c r="I5" s="360"/>
      <c r="J5" s="360"/>
      <c r="K5" s="360"/>
    </row>
    <row r="7" spans="1:12">
      <c r="B7" s="359"/>
      <c r="C7" s="359"/>
      <c r="D7" s="359"/>
      <c r="G7" s="357" t="s">
        <v>3</v>
      </c>
      <c r="H7" s="357"/>
      <c r="I7" s="358"/>
      <c r="J7" s="357" t="s">
        <v>4</v>
      </c>
      <c r="K7" s="356"/>
      <c r="L7" s="355" t="s">
        <v>5</v>
      </c>
    </row>
    <row r="8" spans="1:12">
      <c r="A8" s="354" t="str">
        <f>+'OCT WKSHT'!A8</f>
        <v>DEPARTMENT OF REVENUE SURTAX RECEIPTS COLLECTED (14E6-130-D130-R000-R284, R285, R286)</v>
      </c>
      <c r="B8" s="313"/>
      <c r="C8" s="313"/>
      <c r="D8" s="313"/>
      <c r="E8" s="313"/>
      <c r="F8" s="313"/>
      <c r="G8" s="313"/>
      <c r="H8" s="313"/>
      <c r="I8" s="313"/>
      <c r="J8" s="313"/>
      <c r="K8" s="313"/>
    </row>
    <row r="9" spans="1:12">
      <c r="B9" s="352" t="str">
        <f>+'OCT WKSHT'!B9</f>
        <v>GROSS RECEIPTS (REVENUE DISTRIBUTION)</v>
      </c>
      <c r="C9" s="352"/>
      <c r="D9" s="313"/>
      <c r="E9" s="313"/>
    </row>
    <row r="10" spans="1:12">
      <c r="B10" s="352"/>
      <c r="C10" s="352" t="str">
        <f>+'OCT WKSHT'!C10</f>
        <v>VOLUNTEER FIRE DEPARTMENT AID</v>
      </c>
      <c r="D10" s="313"/>
      <c r="E10" s="313"/>
    </row>
    <row r="11" spans="1:12">
      <c r="B11" s="313"/>
      <c r="C11" s="313"/>
      <c r="D11" s="352" t="str">
        <f>+'OCT WKSHT'!D11</f>
        <v>R284 Volunteer Fire Dept Aid Fund</v>
      </c>
      <c r="E11" s="313"/>
      <c r="H11" s="132">
        <v>2138993.56</v>
      </c>
      <c r="K11" s="74">
        <f>+H11+'OCT WKSHT'!K11</f>
        <v>11088642.220000001</v>
      </c>
    </row>
    <row r="12" spans="1:12">
      <c r="B12" s="313"/>
      <c r="C12" s="352" t="str">
        <f>+'OCT WKSHT'!C12</f>
        <v>LAW ENFORCEMENT AND FIREFIGHTERS FUND</v>
      </c>
      <c r="D12" s="313"/>
      <c r="E12" s="313"/>
      <c r="G12" s="74"/>
      <c r="J12" s="74"/>
    </row>
    <row r="13" spans="1:12">
      <c r="B13" s="313"/>
      <c r="C13" s="313"/>
      <c r="D13" s="352" t="str">
        <f>+'OCT WKSHT'!D13</f>
        <v>R285 Law Enforcement Fund</v>
      </c>
      <c r="E13" s="313"/>
      <c r="F13" s="74"/>
      <c r="G13" s="132">
        <v>9701956.9700000007</v>
      </c>
      <c r="J13" s="74">
        <f>+G13+'OCT WKSHT'!J13</f>
        <v>47182569.629999995</v>
      </c>
    </row>
    <row r="14" spans="1:12">
      <c r="B14" s="313"/>
      <c r="C14" s="313"/>
      <c r="D14" s="352" t="str">
        <f>+'OCT WKSHT'!D14</f>
        <v>R286 Firefighters Fund</v>
      </c>
      <c r="E14" s="313"/>
      <c r="G14" s="316">
        <v>2736449.39</v>
      </c>
      <c r="H14" s="322">
        <f>SUM(G13:G14)</f>
        <v>12438406.360000001</v>
      </c>
      <c r="I14" s="74"/>
      <c r="J14" s="322">
        <f>+G14+'OCT WKSHT'!J14</f>
        <v>13307904.300000001</v>
      </c>
      <c r="K14" s="322">
        <f>SUM(J13:J14)</f>
        <v>60490473.929999992</v>
      </c>
      <c r="L14" s="342"/>
    </row>
    <row r="15" spans="1:12">
      <c r="B15" s="313"/>
      <c r="C15" s="313"/>
      <c r="D15" s="313"/>
      <c r="E15" s="313"/>
      <c r="G15" s="65"/>
      <c r="H15" s="74">
        <f>SUM(H11:H14)</f>
        <v>14577399.920000002</v>
      </c>
      <c r="I15" s="74"/>
      <c r="J15" s="329"/>
      <c r="K15" s="74">
        <f>SUM(K11:K14)</f>
        <v>71579116.149999991</v>
      </c>
      <c r="L15" s="342">
        <f>+J51+J76-K15</f>
        <v>0</v>
      </c>
    </row>
    <row r="16" spans="1:12">
      <c r="B16" s="313"/>
      <c r="C16" s="313"/>
      <c r="D16" s="313"/>
      <c r="E16" s="313"/>
      <c r="G16" s="65"/>
      <c r="H16" s="74"/>
      <c r="I16" s="74"/>
      <c r="J16" s="329"/>
      <c r="K16" s="74"/>
      <c r="L16" s="342"/>
    </row>
    <row r="17" spans="2:12">
      <c r="B17" s="352" t="str">
        <f>+'OCT WKSHT'!B17</f>
        <v>OTHER DISTRIBUTIONS (review JVs other than Revenue Distribution)</v>
      </c>
      <c r="C17" s="313"/>
      <c r="D17" s="313"/>
      <c r="E17" s="313"/>
      <c r="G17" s="19"/>
      <c r="H17" s="74"/>
      <c r="I17" s="74"/>
      <c r="K17" s="74"/>
      <c r="L17" s="342"/>
    </row>
    <row r="18" spans="2:12">
      <c r="B18" s="313"/>
      <c r="C18" s="352" t="str">
        <f>+'OCT WKSHT'!C18</f>
        <v>REVENUE REFUNDS</v>
      </c>
      <c r="D18" s="352"/>
      <c r="E18" s="313"/>
      <c r="L18" s="342"/>
    </row>
    <row r="19" spans="2:12">
      <c r="B19" s="313"/>
      <c r="C19" s="352"/>
      <c r="D19" s="352" t="str">
        <f>+'OCT WKSHT'!D19</f>
        <v>R284</v>
      </c>
      <c r="E19" s="313"/>
      <c r="F19" s="309" t="s">
        <v>32</v>
      </c>
      <c r="G19" s="131"/>
      <c r="J19" s="74">
        <f>+G19+'OCT WKSHT'!J19</f>
        <v>0</v>
      </c>
      <c r="L19" s="342"/>
    </row>
    <row r="20" spans="2:12">
      <c r="B20" s="313"/>
      <c r="C20" s="352"/>
      <c r="D20" s="352" t="str">
        <f>+'OCT WKSHT'!D20</f>
        <v>R285</v>
      </c>
      <c r="E20" s="313"/>
      <c r="G20" s="353">
        <v>-714.98</v>
      </c>
      <c r="J20" s="309">
        <f>+G20+'OCT WKSHT'!J20</f>
        <v>-7785.2000000000007</v>
      </c>
      <c r="L20" s="342"/>
    </row>
    <row r="21" spans="2:12">
      <c r="B21" s="313"/>
      <c r="C21" s="352"/>
      <c r="D21" s="352" t="str">
        <f>+'OCT WKSHT'!D21</f>
        <v>R286</v>
      </c>
      <c r="E21" s="313"/>
      <c r="G21" s="316">
        <v>-201.66</v>
      </c>
      <c r="H21" s="309">
        <f>SUM(G19:G21)</f>
        <v>-916.64</v>
      </c>
      <c r="J21" s="322">
        <f>+G21+'OCT WKSHT'!J21</f>
        <v>-2195.81</v>
      </c>
      <c r="K21" s="309">
        <f>SUM(J19:J21)</f>
        <v>-9981.01</v>
      </c>
      <c r="L21" s="342">
        <f>+J52+J53+J77+J78-K21</f>
        <v>916.63999999999942</v>
      </c>
    </row>
    <row r="22" spans="2:12">
      <c r="B22" s="313"/>
      <c r="C22" s="352" t="str">
        <f>+'OCT WKSHT'!C22</f>
        <v>UNHONORED CHECKS</v>
      </c>
      <c r="D22" s="313"/>
      <c r="E22" s="313"/>
      <c r="L22" s="342"/>
    </row>
    <row r="23" spans="2:12">
      <c r="B23" s="313"/>
      <c r="C23" s="313"/>
      <c r="D23" s="352" t="str">
        <f>+'OCT WKSHT'!D23</f>
        <v>R284</v>
      </c>
      <c r="E23" s="313"/>
      <c r="G23" s="131"/>
      <c r="J23" s="74">
        <f>+G23+'OCT WKSHT'!J23</f>
        <v>0</v>
      </c>
      <c r="L23" s="342"/>
    </row>
    <row r="24" spans="2:12">
      <c r="B24" s="313"/>
      <c r="C24" s="313"/>
      <c r="D24" s="352" t="str">
        <f>+'OCT WKSHT'!D24</f>
        <v>R285</v>
      </c>
      <c r="E24" s="313"/>
      <c r="G24" s="320"/>
      <c r="J24" s="309">
        <f>+G24+'OCT WKSHT'!J24</f>
        <v>0</v>
      </c>
      <c r="L24" s="342"/>
    </row>
    <row r="25" spans="2:12">
      <c r="B25" s="313"/>
      <c r="C25" s="313"/>
      <c r="D25" s="352" t="str">
        <f>+'OCT WKSHT'!D25</f>
        <v>R286</v>
      </c>
      <c r="E25" s="313"/>
      <c r="G25" s="316"/>
      <c r="H25" s="309">
        <f>SUM(G23:G25)</f>
        <v>0</v>
      </c>
      <c r="J25" s="322">
        <f>+G25+'OCT WKSHT'!J25</f>
        <v>0</v>
      </c>
      <c r="K25" s="309">
        <f>SUM(J23:J25)</f>
        <v>0</v>
      </c>
      <c r="L25" s="342">
        <f>+J55+J80-K25</f>
        <v>0</v>
      </c>
    </row>
    <row r="26" spans="2:12">
      <c r="B26" s="313"/>
      <c r="C26" s="352" t="str">
        <f>+'OCT WKSHT'!C26</f>
        <v>RECEIPT ADJUSTMENTS</v>
      </c>
      <c r="D26" s="313"/>
      <c r="E26" s="313"/>
      <c r="H26" s="313"/>
      <c r="I26" s="313"/>
      <c r="L26" s="342"/>
    </row>
    <row r="27" spans="2:12">
      <c r="B27" s="313"/>
      <c r="C27" s="313"/>
      <c r="D27" s="352" t="str">
        <f>+'OCT WKSHT'!D27</f>
        <v>R284</v>
      </c>
      <c r="E27" s="313"/>
      <c r="G27" s="131">
        <v>-214558.27</v>
      </c>
      <c r="J27" s="74">
        <f>+G27+'OCT WKSHT'!J27</f>
        <v>-654203.22</v>
      </c>
      <c r="L27" s="342"/>
    </row>
    <row r="28" spans="2:12">
      <c r="B28" s="313"/>
      <c r="C28" s="313"/>
      <c r="D28" s="352" t="str">
        <f>+'OCT WKSHT'!D28</f>
        <v>R285</v>
      </c>
      <c r="E28" s="313"/>
      <c r="G28" s="131">
        <v>198553.98</v>
      </c>
      <c r="J28" s="309">
        <f>+G28+'OCT WKSHT'!J28</f>
        <v>489257.12</v>
      </c>
      <c r="L28" s="342"/>
    </row>
    <row r="29" spans="2:12">
      <c r="B29" s="313"/>
      <c r="C29" s="313"/>
      <c r="D29" s="352" t="str">
        <f>+'OCT WKSHT'!D29</f>
        <v>R286</v>
      </c>
      <c r="E29" s="313"/>
      <c r="G29" s="316">
        <v>56002.41</v>
      </c>
      <c r="H29" s="322">
        <f>SUM(G27:G29)</f>
        <v>39998.120000000024</v>
      </c>
      <c r="J29" s="322">
        <f>+G29+'OCT WKSHT'!J29</f>
        <v>137995.59</v>
      </c>
      <c r="K29" s="322">
        <f>SUM(J27:J29)</f>
        <v>-26950.50999999998</v>
      </c>
      <c r="L29" s="311">
        <f>+J56+J81-K29</f>
        <v>710.08999999999651</v>
      </c>
    </row>
    <row r="30" spans="2:12" ht="13.5" thickBot="1">
      <c r="B30" s="313"/>
      <c r="C30" s="313"/>
      <c r="D30" s="352" t="str">
        <f>+'OCT WKSHT'!D30</f>
        <v>NET RECEIPTS TO BE DISTRIBUTED</v>
      </c>
      <c r="E30" s="313"/>
      <c r="H30" s="78">
        <f>SUM(H15:H29)</f>
        <v>14616481.4</v>
      </c>
      <c r="I30" s="65"/>
      <c r="K30" s="78">
        <f>SUM(K15:K29)</f>
        <v>71542184.62999998</v>
      </c>
    </row>
    <row r="31" spans="2:12">
      <c r="B31" s="313"/>
      <c r="C31" s="313"/>
      <c r="D31" s="313"/>
      <c r="E31" s="313"/>
    </row>
    <row r="32" spans="2:12">
      <c r="B32" s="352" t="str">
        <f>+'OCT WKSHT'!B32</f>
        <v>TOTAL</v>
      </c>
      <c r="C32" s="313"/>
      <c r="D32" s="313"/>
      <c r="E32" s="313"/>
    </row>
    <row r="33" spans="1:12">
      <c r="B33" s="313"/>
      <c r="C33" s="352" t="str">
        <f>+'OCT WKSHT'!C33</f>
        <v>R284</v>
      </c>
      <c r="D33" s="313"/>
      <c r="E33" s="313"/>
      <c r="G33" s="74">
        <f>+G27+G23+G19+H11</f>
        <v>1924435.29</v>
      </c>
      <c r="J33" s="74">
        <f>+J27+J23+J19+K11</f>
        <v>10434439</v>
      </c>
    </row>
    <row r="34" spans="1:12">
      <c r="B34" s="313"/>
      <c r="C34" s="352" t="str">
        <f>+'OCT WKSHT'!C34</f>
        <v>R285</v>
      </c>
      <c r="D34" s="313"/>
      <c r="E34" s="313"/>
      <c r="G34" s="309">
        <f>+G28+G24+G20+G13</f>
        <v>9899795.9700000007</v>
      </c>
      <c r="J34" s="309">
        <f>+J28+J24+J20+J13</f>
        <v>47664041.549999997</v>
      </c>
    </row>
    <row r="35" spans="1:12">
      <c r="B35" s="313"/>
      <c r="C35" s="352" t="str">
        <f>+'OCT WKSHT'!C35</f>
        <v>R286</v>
      </c>
      <c r="D35" s="313"/>
      <c r="E35" s="313"/>
      <c r="G35" s="322">
        <f>+G29+G25+G21+G14</f>
        <v>2792250.14</v>
      </c>
      <c r="H35" s="74">
        <f>SUM(G33:G35)</f>
        <v>14616481.400000002</v>
      </c>
      <c r="J35" s="322">
        <f>+J29+J25+J21+J14</f>
        <v>13443704.08</v>
      </c>
      <c r="K35" s="74">
        <f>SUM(J33:J35)</f>
        <v>71542184.629999995</v>
      </c>
    </row>
    <row r="36" spans="1:12">
      <c r="B36" s="313"/>
      <c r="C36" s="313"/>
      <c r="D36" s="313"/>
      <c r="E36" s="313"/>
    </row>
    <row r="37" spans="1:12" ht="21.6" customHeight="1">
      <c r="A37" s="345"/>
      <c r="B37" s="343"/>
      <c r="C37" s="349" t="s">
        <v>60</v>
      </c>
      <c r="D37" s="346"/>
      <c r="E37" s="346"/>
      <c r="F37" s="346"/>
      <c r="G37" s="403" t="s">
        <v>98</v>
      </c>
      <c r="H37" s="403"/>
      <c r="I37" s="351"/>
      <c r="J37" s="342"/>
      <c r="K37" s="342"/>
      <c r="L37" s="342"/>
    </row>
    <row r="38" spans="1:12">
      <c r="A38" s="345"/>
      <c r="B38" s="343"/>
      <c r="C38" s="346"/>
      <c r="D38" s="347"/>
      <c r="E38" s="346" t="s">
        <v>59</v>
      </c>
      <c r="F38" s="346"/>
      <c r="G38" s="346"/>
      <c r="H38" s="165">
        <f>G39+G40+G41</f>
        <v>916.64</v>
      </c>
      <c r="I38" s="342"/>
      <c r="J38" s="342"/>
      <c r="K38" s="342"/>
      <c r="L38" s="342"/>
    </row>
    <row r="39" spans="1:12">
      <c r="A39" s="345"/>
      <c r="B39" s="343"/>
      <c r="C39" s="346"/>
      <c r="D39" s="346"/>
      <c r="E39" s="347" t="s">
        <v>66</v>
      </c>
      <c r="F39" s="347"/>
      <c r="G39" s="165"/>
      <c r="H39" s="346"/>
      <c r="I39" s="342"/>
      <c r="J39" s="350"/>
      <c r="K39" s="342"/>
      <c r="L39" s="342"/>
    </row>
    <row r="40" spans="1:12">
      <c r="A40" s="345"/>
      <c r="B40" s="343"/>
      <c r="C40" s="346"/>
      <c r="D40" s="346"/>
      <c r="E40" s="347" t="s">
        <v>65</v>
      </c>
      <c r="F40" s="346"/>
      <c r="G40" s="346">
        <f>-G20</f>
        <v>714.98</v>
      </c>
      <c r="H40" s="346"/>
      <c r="I40" s="342"/>
      <c r="J40" s="342"/>
      <c r="K40" s="342"/>
      <c r="L40" s="342"/>
    </row>
    <row r="41" spans="1:12">
      <c r="A41" s="345"/>
      <c r="B41" s="343"/>
      <c r="C41" s="346"/>
      <c r="D41" s="346"/>
      <c r="E41" s="347" t="s">
        <v>66</v>
      </c>
      <c r="F41" s="346"/>
      <c r="G41" s="346">
        <f>-G21</f>
        <v>201.66</v>
      </c>
      <c r="H41" s="346"/>
      <c r="I41" s="342"/>
      <c r="J41" s="342"/>
      <c r="K41" s="342"/>
      <c r="L41" s="342"/>
    </row>
    <row r="42" spans="1:12">
      <c r="A42" s="345"/>
      <c r="B42" s="343"/>
      <c r="C42" s="349" t="s">
        <v>72</v>
      </c>
      <c r="D42" s="346"/>
      <c r="E42" s="347"/>
      <c r="F42" s="346"/>
      <c r="G42" s="348"/>
      <c r="H42" s="346"/>
      <c r="I42" s="342"/>
      <c r="J42" s="342"/>
      <c r="K42" s="342"/>
      <c r="L42" s="342"/>
    </row>
    <row r="43" spans="1:12">
      <c r="A43" s="345"/>
      <c r="B43" s="343"/>
      <c r="C43" s="346"/>
      <c r="D43" s="346"/>
      <c r="E43" s="347"/>
      <c r="F43" s="346"/>
      <c r="G43" s="346"/>
      <c r="H43" s="346"/>
      <c r="I43" s="342"/>
      <c r="J43" s="342"/>
      <c r="K43" s="342"/>
      <c r="L43" s="342"/>
    </row>
    <row r="44" spans="1:12" s="342" customFormat="1">
      <c r="A44" s="345"/>
      <c r="B44" s="343"/>
      <c r="C44" s="343"/>
      <c r="D44" s="343"/>
      <c r="E44" s="344"/>
      <c r="F44" s="343"/>
      <c r="G44" s="343"/>
      <c r="H44" s="343"/>
    </row>
    <row r="45" spans="1:12">
      <c r="A45" s="330" t="str">
        <f>+'OCT WKSHT'!A45</f>
        <v>LAW ENFORCEMENT FOUNDATION FUND (13DB-525-0000)</v>
      </c>
    </row>
    <row r="46" spans="1:12">
      <c r="A46" s="330"/>
      <c r="B46" s="318" t="str">
        <f>+'OCT WKSHT'!B46</f>
        <v>BALANCE FORWARDED FROM FISCAL YEAR 2023</v>
      </c>
      <c r="K46" s="74">
        <f>+'OCT WKSHT'!K46</f>
        <v>73871638.640000001</v>
      </c>
    </row>
    <row r="47" spans="1:12">
      <c r="A47" s="330"/>
      <c r="K47" s="74"/>
    </row>
    <row r="48" spans="1:12">
      <c r="B48" s="328" t="str">
        <f>+'OCT WKSHT'!B66</f>
        <v>CASH BALANCE OCTOBER 31, 2023</v>
      </c>
      <c r="H48" s="108">
        <f>+'OCT WKSHT'!H66</f>
        <v>83428721.400000006</v>
      </c>
      <c r="I48" s="74"/>
    </row>
    <row r="49" spans="2:13">
      <c r="B49" s="318" t="s">
        <v>32</v>
      </c>
      <c r="H49" s="74"/>
      <c r="I49" s="74"/>
      <c r="L49" s="337"/>
    </row>
    <row r="50" spans="2:13">
      <c r="B50" s="318" t="str">
        <f>+'OCT WKSHT'!B50</f>
        <v>REVENUE DISTRIBUTION INCOME (REVENUE DETAIL WORKSHEET):</v>
      </c>
      <c r="H50" s="327" t="s">
        <v>63</v>
      </c>
      <c r="K50" s="327" t="s">
        <v>63</v>
      </c>
      <c r="L50" s="341"/>
    </row>
    <row r="51" spans="2:13" ht="21" customHeight="1">
      <c r="C51" s="318" t="str">
        <f>+'OCT WKSHT'!C51</f>
        <v>REVENUE DISTRIBUTION (N114)</v>
      </c>
      <c r="G51" s="132">
        <v>10778884.66</v>
      </c>
      <c r="H51" s="326">
        <f>+H14*0.78</f>
        <v>9701956.9608000014</v>
      </c>
      <c r="J51" s="74">
        <f>+G51+'OCT WKSHT'!J51</f>
        <v>47182569.629999995</v>
      </c>
      <c r="K51" s="326">
        <f>+K14*0.78</f>
        <v>47182569.665399998</v>
      </c>
      <c r="L51" s="338"/>
      <c r="M51" s="340"/>
    </row>
    <row r="52" spans="2:13">
      <c r="C52" s="318" t="str">
        <f>+'OCT WKSHT'!C52</f>
        <v>REVENUE REFUNDS:  PRIOR YEAR</v>
      </c>
      <c r="G52" s="320"/>
      <c r="J52" s="309">
        <f>+G52+'OCT WKSHT'!J52</f>
        <v>0</v>
      </c>
      <c r="L52" s="337"/>
    </row>
    <row r="53" spans="2:13">
      <c r="C53" s="318" t="str">
        <f>+'OCT WKSHT'!C53</f>
        <v>REVENUE REFUNDS:  CURRENT YEAR</v>
      </c>
      <c r="G53" s="320">
        <v>-2030.52</v>
      </c>
      <c r="J53" s="309">
        <f>+G53+'OCT WKSHT'!J53</f>
        <v>-7070.2200000000012</v>
      </c>
      <c r="L53" s="337"/>
    </row>
    <row r="54" spans="2:13">
      <c r="C54" s="318" t="str">
        <f>+'OCT WKSHT'!C54</f>
        <v>REFUND OF PRIOR YEAR DISBURSEMENTS (R881)</v>
      </c>
      <c r="G54" s="320"/>
      <c r="J54" s="309">
        <f>+G54+'OCT WKSHT'!J54</f>
        <v>0</v>
      </c>
    </row>
    <row r="55" spans="2:13">
      <c r="C55" s="318" t="str">
        <f>+'OCT WKSHT'!C55</f>
        <v>UNHONORED CHECKS</v>
      </c>
      <c r="G55" s="320"/>
      <c r="J55" s="309">
        <f>+G55+'OCT WKSHT'!J55</f>
        <v>0</v>
      </c>
      <c r="M55" s="339"/>
    </row>
    <row r="56" spans="2:13">
      <c r="C56" s="318" t="str">
        <f>+'OCT WKSHT'!C56</f>
        <v>RECEIPT ADJUSTMENTS</v>
      </c>
      <c r="G56" s="316">
        <v>198553.98</v>
      </c>
      <c r="H56" s="309">
        <f>SUM(G51:G56)</f>
        <v>10975408.120000001</v>
      </c>
      <c r="J56" s="322">
        <f>+G56+'OCT WKSHT'!J56</f>
        <v>489257.12</v>
      </c>
      <c r="K56" s="309">
        <f>SUM(J51:J56)</f>
        <v>47664756.529999994</v>
      </c>
    </row>
    <row r="58" spans="2:13">
      <c r="B58" s="318" t="str">
        <f>+'OCT WKSHT'!B58</f>
        <v>INVESTMENT INCOME (R771)</v>
      </c>
      <c r="C58" s="309"/>
      <c r="H58" s="320">
        <v>349789.54</v>
      </c>
      <c r="K58" s="309">
        <f>+H58+'OCT WKSHT'!K58</f>
        <v>1618253.6300000001</v>
      </c>
    </row>
    <row r="59" spans="2:13">
      <c r="L59" s="321" t="s">
        <v>50</v>
      </c>
      <c r="M59" s="339"/>
    </row>
    <row r="60" spans="2:13">
      <c r="B60" s="318" t="str">
        <f>+'OCT WKSHT'!B60</f>
        <v>OTHER REVENUE</v>
      </c>
      <c r="H60" s="320"/>
      <c r="K60" s="309">
        <f>+H60+'OCT WKSHT'!K60</f>
        <v>6110.11</v>
      </c>
      <c r="L60" s="319">
        <f>3721083.09+'OCT WKSHT'!L60</f>
        <v>13135710.220000001</v>
      </c>
    </row>
    <row r="61" spans="2:13">
      <c r="L61" s="315" t="s">
        <v>54</v>
      </c>
      <c r="M61" s="339"/>
    </row>
    <row r="62" spans="2:13">
      <c r="B62" s="318" t="str">
        <f>+'OCT WKSHT'!B62</f>
        <v>EXPENDITURES (LAW ENFORCEMENT SUMMARY)</v>
      </c>
      <c r="H62" s="338"/>
      <c r="I62" s="337"/>
      <c r="J62" s="337"/>
      <c r="K62" s="337"/>
      <c r="L62" s="315">
        <f>+K46</f>
        <v>73871638.640000001</v>
      </c>
    </row>
    <row r="63" spans="2:13">
      <c r="B63" s="318"/>
      <c r="C63" s="310" t="str">
        <f>+'AUG WKSHT'!C63</f>
        <v>CASH EXPENDITURES</v>
      </c>
      <c r="H63" s="313"/>
      <c r="I63" s="313"/>
      <c r="J63" s="336">
        <v>36153410.049999997</v>
      </c>
      <c r="K63" s="313"/>
      <c r="L63" s="315" t="s">
        <v>55</v>
      </c>
    </row>
    <row r="64" spans="2:13">
      <c r="B64" s="318"/>
      <c r="C64" s="310" t="str">
        <f>+'AUG WKSHT'!C64</f>
        <v>ACCRUED EXPENDITURES</v>
      </c>
      <c r="H64" s="317">
        <f>+K64-'OCT WKSHT'!K64</f>
        <v>7604114.5699999928</v>
      </c>
      <c r="I64" s="313"/>
      <c r="J64" s="335">
        <v>-142455.63</v>
      </c>
      <c r="K64" s="334">
        <f>SUM(J63:J64)</f>
        <v>36010954.419999994</v>
      </c>
      <c r="L64" s="315">
        <f>+J64</f>
        <v>-142455.63</v>
      </c>
    </row>
    <row r="65" spans="1:13">
      <c r="L65" s="315" t="s">
        <v>53</v>
      </c>
      <c r="M65" s="313" t="s">
        <v>70</v>
      </c>
    </row>
    <row r="66" spans="1:13" ht="13.5" thickBot="1">
      <c r="B66" s="333" t="s">
        <v>96</v>
      </c>
      <c r="C66" s="332"/>
      <c r="D66" s="332"/>
      <c r="E66" s="332"/>
      <c r="H66" s="79">
        <f>+H48+H56+H58+H60-H64</f>
        <v>87149804.490000024</v>
      </c>
      <c r="K66" s="79">
        <f>+K46+K56+K58+K60-K64</f>
        <v>87149804.48999998</v>
      </c>
      <c r="L66" s="314">
        <f>+L60+L62-L64</f>
        <v>87149804.489999995</v>
      </c>
      <c r="M66" s="313">
        <f>L66-K66</f>
        <v>0</v>
      </c>
    </row>
    <row r="67" spans="1:13">
      <c r="L67" s="331"/>
      <c r="M67" s="313"/>
    </row>
    <row r="68" spans="1:13">
      <c r="A68" s="330" t="str">
        <f>+'OCT WKSHT'!A68</f>
        <v>FIREFIGHTERS FOUNDATION FUND (1341-470-UNIT-PK00)</v>
      </c>
      <c r="L68" s="329"/>
      <c r="M68" s="313"/>
    </row>
    <row r="69" spans="1:13">
      <c r="A69" s="318"/>
      <c r="B69" s="310" t="str">
        <f>+B46</f>
        <v>BALANCE FORWARDED FROM FISCAL YEAR 2023</v>
      </c>
      <c r="K69" s="74">
        <f>+'OCT WKSHT'!K69</f>
        <v>38612985.210000001</v>
      </c>
      <c r="L69" s="329"/>
      <c r="M69" s="313"/>
    </row>
    <row r="70" spans="1:13">
      <c r="A70" s="330"/>
      <c r="K70" s="74"/>
      <c r="L70" s="329"/>
      <c r="M70" s="313"/>
    </row>
    <row r="71" spans="1:13">
      <c r="B71" s="318" t="str">
        <f>+B48</f>
        <v>CASH BALANCE OCTOBER 31, 2023</v>
      </c>
      <c r="H71" s="108">
        <f>+'OCT WKSHT'!H89</f>
        <v>40256133.530000001</v>
      </c>
      <c r="I71" s="74"/>
      <c r="M71" s="313"/>
    </row>
    <row r="72" spans="1:13">
      <c r="B72" s="318"/>
      <c r="H72" s="74"/>
      <c r="I72" s="74"/>
      <c r="M72" s="313"/>
    </row>
    <row r="73" spans="1:13">
      <c r="B73" s="328" t="str">
        <f>+B50</f>
        <v>REVENUE DISTRIBUTION INCOME (REVENUE DETAIL WORKSHEET):</v>
      </c>
      <c r="M73" s="313"/>
    </row>
    <row r="74" spans="1:13">
      <c r="C74" s="318" t="str">
        <f>+C51</f>
        <v>REVENUE DISTRIBUTION (N114)</v>
      </c>
      <c r="H74" s="327" t="s">
        <v>64</v>
      </c>
      <c r="K74" s="327"/>
      <c r="M74" s="313"/>
    </row>
    <row r="75" spans="1:13">
      <c r="C75" s="318"/>
      <c r="D75" s="318" t="str">
        <f>+'OCT WKSHT'!D75</f>
        <v>FIREFIGHTERS FUND</v>
      </c>
      <c r="F75" s="132">
        <v>3040198.24</v>
      </c>
      <c r="G75" s="74"/>
      <c r="H75" s="326">
        <f>+H14*0.22</f>
        <v>2736449.3992000003</v>
      </c>
      <c r="J75" s="74"/>
      <c r="K75" s="326"/>
      <c r="L75" s="325" t="s">
        <v>43</v>
      </c>
      <c r="M75" s="313"/>
    </row>
    <row r="76" spans="1:13">
      <c r="C76" s="318"/>
      <c r="D76" s="318" t="str">
        <f>+'OCT WKSHT'!D76</f>
        <v>VOLUNTEER FIRE DEPT AID</v>
      </c>
      <c r="F76" s="316">
        <v>2138993.56</v>
      </c>
      <c r="G76" s="72">
        <f>SUM(F75:F76)</f>
        <v>5179191.8000000007</v>
      </c>
      <c r="J76" s="74">
        <f>+G76+'OCT WKSHT'!J76</f>
        <v>24396546.52</v>
      </c>
      <c r="L76" s="315">
        <f>+K11+J14</f>
        <v>24396546.520000003</v>
      </c>
      <c r="M76" s="313"/>
    </row>
    <row r="77" spans="1:13">
      <c r="C77" s="318" t="str">
        <f>+C52</f>
        <v>REVENUE REFUNDS:  PRIOR YEAR</v>
      </c>
      <c r="G77" s="320"/>
      <c r="J77" s="309">
        <f>+G77+'OCT WKSHT'!J77</f>
        <v>0</v>
      </c>
      <c r="L77" s="324" t="s">
        <v>44</v>
      </c>
      <c r="M77" s="313"/>
    </row>
    <row r="78" spans="1:13" ht="14.25" customHeight="1">
      <c r="C78" s="310" t="str">
        <f>+C53</f>
        <v>REVENUE REFUNDS:  CURRENT YEAR</v>
      </c>
      <c r="G78" s="320">
        <v>-572.70000000000005</v>
      </c>
      <c r="J78" s="309">
        <f>+G78+'OCT WKSHT'!J78</f>
        <v>-1994.15</v>
      </c>
      <c r="L78" s="323"/>
      <c r="M78" s="313"/>
    </row>
    <row r="79" spans="1:13">
      <c r="C79" s="318" t="str">
        <f>+C54</f>
        <v>REFUND OF PRIOR YEAR DISBURSEMENTS (R881)</v>
      </c>
      <c r="G79" s="320"/>
      <c r="J79" s="309">
        <f>+G79+'OCT WKSHT'!J79</f>
        <v>0</v>
      </c>
      <c r="M79" s="313"/>
    </row>
    <row r="80" spans="1:13">
      <c r="C80" s="310" t="str">
        <f>+C55</f>
        <v>UNHONORED CHECKS</v>
      </c>
      <c r="G80" s="320"/>
      <c r="J80" s="309">
        <f>+G80+'OCT WKSHT'!J80</f>
        <v>0</v>
      </c>
      <c r="M80" s="313"/>
    </row>
    <row r="81" spans="2:13">
      <c r="C81" s="310" t="str">
        <f>+C56</f>
        <v>RECEIPT ADJUSTMENTS</v>
      </c>
      <c r="G81" s="316">
        <v>-158555.85999999999</v>
      </c>
      <c r="H81" s="309">
        <f>SUM(G75:G81)</f>
        <v>5020063.24</v>
      </c>
      <c r="J81" s="322">
        <f>+G81+'OCT WKSHT'!J81</f>
        <v>-515497.54</v>
      </c>
      <c r="K81" s="309">
        <f>SUM(J76:J81)</f>
        <v>23879054.830000002</v>
      </c>
      <c r="M81" s="313"/>
    </row>
    <row r="82" spans="2:13">
      <c r="M82" s="313"/>
    </row>
    <row r="83" spans="2:13">
      <c r="B83" s="318" t="str">
        <f>+B58</f>
        <v>INVESTMENT INCOME (R771)</v>
      </c>
      <c r="C83" s="309"/>
      <c r="H83" s="320">
        <v>292184.25</v>
      </c>
      <c r="K83" s="309">
        <f>+H83+'OCT WKSHT'!K83</f>
        <v>848296.79</v>
      </c>
      <c r="M83" s="313"/>
    </row>
    <row r="84" spans="2:13">
      <c r="L84" s="321" t="s">
        <v>50</v>
      </c>
      <c r="M84" s="313"/>
    </row>
    <row r="85" spans="2:13">
      <c r="B85" s="318" t="str">
        <f>+B60</f>
        <v>OTHER REVENUE</v>
      </c>
      <c r="C85" s="309"/>
      <c r="H85" s="320"/>
      <c r="K85" s="309">
        <f>+H85+'OCT WKSHT'!K85</f>
        <v>0</v>
      </c>
      <c r="L85" s="319">
        <f>578622.05+'OCT WKSHT'!L85</f>
        <v>2221770.37</v>
      </c>
      <c r="M85" s="313"/>
    </row>
    <row r="86" spans="2:13">
      <c r="L86" s="315" t="s">
        <v>54</v>
      </c>
      <c r="M86" s="313"/>
    </row>
    <row r="87" spans="2:13">
      <c r="B87" s="318" t="str">
        <f>+'OCT WKSHT'!B87</f>
        <v>EXPENDITURES (FIREFIGHTERS SUMMARY)</v>
      </c>
      <c r="H87" s="317">
        <f>+K87-'OCT WKSHT'!K87</f>
        <v>4733625.4400000013</v>
      </c>
      <c r="K87" s="316">
        <v>22505581.25</v>
      </c>
      <c r="L87" s="315">
        <f>+K69</f>
        <v>38612985.210000001</v>
      </c>
      <c r="M87" s="313"/>
    </row>
    <row r="88" spans="2:13">
      <c r="L88" s="315" t="s">
        <v>53</v>
      </c>
      <c r="M88" s="313" t="s">
        <v>70</v>
      </c>
    </row>
    <row r="89" spans="2:13" ht="13.5" thickBot="1">
      <c r="B89" s="310" t="str">
        <f>+B66</f>
        <v>CASH BALANCE NOVEMBER 30, 2023</v>
      </c>
      <c r="H89" s="79">
        <f>+H71+H81+H83+H85-H87</f>
        <v>40834755.579999998</v>
      </c>
      <c r="K89" s="79">
        <f>+K69+K81+K83+K85-K87</f>
        <v>40834755.580000006</v>
      </c>
      <c r="L89" s="314">
        <f>+L85+L87</f>
        <v>40834755.579999998</v>
      </c>
      <c r="M89" s="313">
        <f>L89-K89</f>
        <v>0</v>
      </c>
    </row>
    <row r="90" spans="2:13" ht="15.75" customHeight="1"/>
    <row r="94" spans="2:13" ht="15">
      <c r="E94" s="312" t="s">
        <v>99</v>
      </c>
      <c r="F94" s="311"/>
      <c r="G94" s="311"/>
      <c r="H94" s="311"/>
      <c r="I94" s="311"/>
      <c r="J94" s="311"/>
      <c r="K94" s="311"/>
      <c r="L94" s="311"/>
    </row>
  </sheetData>
  <mergeCells count="1">
    <mergeCell ref="G37:H37"/>
  </mergeCells>
  <printOptions horizontalCentered="1" verticalCentered="1"/>
  <pageMargins left="0" right="0" top="0" bottom="0" header="0" footer="0"/>
  <pageSetup scale="66" orientation="portrait" horizontalDpi="300" verticalDpi="300" r:id="rId1"/>
  <headerFooter alignWithMargins="0">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12</vt:i4>
      </vt:variant>
    </vt:vector>
  </HeadingPairs>
  <TitlesOfParts>
    <vt:vector size="37" baseType="lpstr">
      <vt:lpstr>JUL WKSHT</vt:lpstr>
      <vt:lpstr>JUL</vt:lpstr>
      <vt:lpstr>AUG WKSHT</vt:lpstr>
      <vt:lpstr>AUG</vt:lpstr>
      <vt:lpstr>SEP WKSHT</vt:lpstr>
      <vt:lpstr>SEP</vt:lpstr>
      <vt:lpstr>OCT WKSHT</vt:lpstr>
      <vt:lpstr>OCT</vt:lpstr>
      <vt:lpstr>NOV WKSHT</vt:lpstr>
      <vt:lpstr>NOV</vt:lpstr>
      <vt:lpstr>DEC WKSHT</vt:lpstr>
      <vt:lpstr>DEC</vt:lpstr>
      <vt:lpstr>JAN WKSHT</vt:lpstr>
      <vt:lpstr>JAN</vt:lpstr>
      <vt:lpstr>FEB WKSHT</vt:lpstr>
      <vt:lpstr>FEB</vt:lpstr>
      <vt:lpstr>MAR WKSHT</vt:lpstr>
      <vt:lpstr>APR WKSHT</vt:lpstr>
      <vt:lpstr>APR</vt:lpstr>
      <vt:lpstr>MAY WKSHT</vt:lpstr>
      <vt:lpstr>MAY</vt:lpstr>
      <vt:lpstr>JUN WKSHT</vt:lpstr>
      <vt:lpstr>JUN</vt:lpstr>
      <vt:lpstr>Period 13 WKSHT</vt:lpstr>
      <vt:lpstr>Period 13</vt:lpstr>
      <vt:lpstr>'OCT WKSHT'!DocumentActionClose</vt:lpstr>
      <vt:lpstr>APR!Print_Area</vt:lpstr>
      <vt:lpstr>AUG!Print_Area</vt:lpstr>
      <vt:lpstr>DEC!Print_Area</vt:lpstr>
      <vt:lpstr>FEB!Print_Area</vt:lpstr>
      <vt:lpstr>JAN!Print_Area</vt:lpstr>
      <vt:lpstr>JUL!Print_Area</vt:lpstr>
      <vt:lpstr>NOV!Print_Area</vt:lpstr>
      <vt:lpstr>OCT!Print_Area</vt:lpstr>
      <vt:lpstr>SEP!Print_Area</vt:lpstr>
      <vt:lpstr>'MAR WKSHT'!TE1_15867_pagetransition</vt:lpstr>
      <vt:lpstr>'MAR WKSHT'!TE1_16726_pagetransition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Law Enforcement &amp; Firefighters Fund</dc:title>
  <dc:subject>Monthly Report</dc:subject>
  <dc:creator>BRETT ANTLE</dc:creator>
  <dc:description>July formatted for current month, while remaining months formatted to roll forward amounts.</dc:description>
  <cp:lastModifiedBy>jason.mach</cp:lastModifiedBy>
  <cp:lastPrinted>2024-06-11T19:28:45Z</cp:lastPrinted>
  <dcterms:created xsi:type="dcterms:W3CDTF">1997-08-05T14:12:45Z</dcterms:created>
  <dcterms:modified xsi:type="dcterms:W3CDTF">2024-07-23T13:44:05Z</dcterms:modified>
</cp:coreProperties>
</file>